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2155" windowHeight="13200"/>
  </bookViews>
  <sheets>
    <sheet name="2027 Budget -Draft" sheetId="1" r:id="rId1"/>
    <sheet name="2027 Budget Summary" sheetId="2" r:id="rId2"/>
    <sheet name="Debt Service &amp; Levy Calculation" sheetId="3" r:id="rId3"/>
    <sheet name="Trash &amp; Recycling" sheetId="4" r:id="rId4"/>
  </sheets>
  <externalReferences>
    <externalReference r:id="rId5"/>
  </externalReferences>
  <definedNames>
    <definedName name="_xlnm.Print_Area" localSheetId="0">'2027 Budget -Draft'!$A$1:$O$228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J75" i="1"/>
  <c r="J59" i="1"/>
  <c r="J124" i="1"/>
  <c r="J118" i="1"/>
  <c r="J9" i="1"/>
  <c r="H17" i="3"/>
  <c r="J211" i="1"/>
  <c r="J210" i="1"/>
  <c r="J208" i="1"/>
  <c r="J173" i="1"/>
  <c r="J175" i="1" s="1"/>
  <c r="J122" i="1"/>
  <c r="J128" i="1"/>
  <c r="J182" i="1"/>
  <c r="J220" i="1"/>
  <c r="J219" i="1"/>
  <c r="J221" i="1" s="1"/>
  <c r="O7" i="4"/>
  <c r="O6" i="4"/>
  <c r="O5" i="4"/>
  <c r="L12" i="4"/>
  <c r="L5" i="4"/>
  <c r="L11" i="4"/>
  <c r="G11" i="4"/>
  <c r="F11" i="4"/>
  <c r="D11" i="4"/>
  <c r="D5" i="4"/>
  <c r="L4" i="4"/>
  <c r="I4" i="4"/>
  <c r="J83" i="1"/>
  <c r="J113" i="1"/>
  <c r="J112" i="1"/>
  <c r="J38" i="1"/>
  <c r="L6" i="4" l="1"/>
  <c r="L16" i="4"/>
  <c r="L13" i="4"/>
  <c r="J22" i="1"/>
  <c r="H122" i="1"/>
  <c r="H124" i="1" s="1"/>
  <c r="H103" i="1"/>
  <c r="H52" i="1"/>
  <c r="E21" i="2"/>
  <c r="E16" i="2"/>
  <c r="E13" i="2"/>
  <c r="E11" i="2"/>
  <c r="E10" i="2"/>
  <c r="E8" i="2"/>
  <c r="E7" i="2"/>
  <c r="C24" i="2"/>
  <c r="C21" i="2"/>
  <c r="C11" i="2"/>
  <c r="C8" i="2"/>
  <c r="C7" i="2"/>
  <c r="H5" i="3" l="1"/>
  <c r="I162" i="1"/>
  <c r="I124" i="1"/>
  <c r="I134" i="1" s="1"/>
  <c r="E26" i="2" s="1"/>
  <c r="J215" i="1"/>
  <c r="C23" i="2" s="1"/>
  <c r="I215" i="1"/>
  <c r="E23" i="2" s="1"/>
  <c r="J162" i="1"/>
  <c r="I143" i="1"/>
  <c r="I145" i="1" s="1"/>
  <c r="J129" i="1"/>
  <c r="I129" i="1"/>
  <c r="J114" i="1"/>
  <c r="I114" i="1"/>
  <c r="J100" i="1"/>
  <c r="I100" i="1"/>
  <c r="J43" i="1"/>
  <c r="C14" i="2" s="1"/>
  <c r="J36" i="1"/>
  <c r="C12" i="2" s="1"/>
  <c r="I221" i="1"/>
  <c r="E24" i="2" s="1"/>
  <c r="J199" i="1"/>
  <c r="J198" i="1"/>
  <c r="J197" i="1"/>
  <c r="J194" i="1"/>
  <c r="J192" i="1"/>
  <c r="J191" i="1"/>
  <c r="J193" i="1" s="1"/>
  <c r="J164" i="1" l="1"/>
  <c r="J174" i="1"/>
  <c r="J168" i="1"/>
  <c r="J166" i="1"/>
  <c r="J163" i="1"/>
  <c r="J132" i="1"/>
  <c r="J123" i="1"/>
  <c r="J121" i="1"/>
  <c r="J134" i="1" s="1"/>
  <c r="C26" i="2" s="1"/>
  <c r="J103" i="1"/>
  <c r="J82" i="1"/>
  <c r="J81" i="1"/>
  <c r="J80" i="1"/>
  <c r="J73" i="1" l="1"/>
  <c r="J27" i="1"/>
  <c r="G127" i="1"/>
  <c r="G122" i="1"/>
  <c r="G123" i="1"/>
  <c r="G103" i="1"/>
  <c r="G105" i="1" s="1"/>
  <c r="H143" i="1"/>
  <c r="H145" i="1" s="1"/>
  <c r="H100" i="1"/>
  <c r="H162" i="1"/>
  <c r="H164" i="1" s="1"/>
  <c r="G162" i="1"/>
  <c r="J226" i="1"/>
  <c r="J227" i="1" s="1"/>
  <c r="J204" i="1"/>
  <c r="J200" i="1"/>
  <c r="J187" i="1"/>
  <c r="J184" i="1"/>
  <c r="C22" i="2" s="1"/>
  <c r="J169" i="1"/>
  <c r="J143" i="1"/>
  <c r="J105" i="1"/>
  <c r="J69" i="1"/>
  <c r="J70" i="1" s="1"/>
  <c r="J47" i="1"/>
  <c r="C13" i="2" s="1"/>
  <c r="H226" i="1"/>
  <c r="H227" i="1" s="1"/>
  <c r="H221" i="1"/>
  <c r="H215" i="1"/>
  <c r="H204" i="1"/>
  <c r="H200" i="1"/>
  <c r="H192" i="1"/>
  <c r="H193" i="1" s="1"/>
  <c r="H187" i="1"/>
  <c r="H184" i="1"/>
  <c r="H176" i="1"/>
  <c r="H169" i="1"/>
  <c r="H129" i="1"/>
  <c r="H114" i="1"/>
  <c r="H105" i="1"/>
  <c r="H84" i="1"/>
  <c r="H77" i="1"/>
  <c r="H69" i="1"/>
  <c r="H70" i="1" s="1"/>
  <c r="H47" i="1"/>
  <c r="H43" i="1"/>
  <c r="H36" i="1"/>
  <c r="H27" i="1"/>
  <c r="H28" i="1" s="1"/>
  <c r="H13" i="1"/>
  <c r="H59" i="1" l="1"/>
  <c r="G13" i="2"/>
  <c r="I13" i="2"/>
  <c r="J145" i="1"/>
  <c r="J146" i="1" s="1"/>
  <c r="C10" i="2"/>
  <c r="J28" i="1"/>
  <c r="C9" i="2" s="1"/>
  <c r="J77" i="1"/>
  <c r="H60" i="1"/>
  <c r="H178" i="1"/>
  <c r="H146" i="1"/>
  <c r="H101" i="1"/>
  <c r="H115" i="1" s="1"/>
  <c r="H201" i="1"/>
  <c r="J201" i="1"/>
  <c r="C28" i="2" s="1"/>
  <c r="H134" i="1"/>
  <c r="I151" i="1"/>
  <c r="I164" i="1" s="1"/>
  <c r="I9" i="1"/>
  <c r="I27" i="2"/>
  <c r="G16" i="2"/>
  <c r="I171" i="1"/>
  <c r="J13" i="1" l="1"/>
  <c r="C6" i="2" s="1"/>
  <c r="E6" i="2"/>
  <c r="J171" i="1"/>
  <c r="J176" i="1" s="1"/>
  <c r="J178" i="1" s="1"/>
  <c r="J180" i="1" s="1"/>
  <c r="C25" i="2" s="1"/>
  <c r="I176" i="1"/>
  <c r="H180" i="1"/>
  <c r="H222" i="1" s="1"/>
  <c r="H223" i="1" s="1"/>
  <c r="H228" i="1" s="1"/>
  <c r="G143" i="1"/>
  <c r="G129" i="1"/>
  <c r="G100" i="1"/>
  <c r="G124" i="1"/>
  <c r="F124" i="1"/>
  <c r="G6" i="2" l="1"/>
  <c r="J60" i="1"/>
  <c r="G145" i="1"/>
  <c r="G146" i="1" s="1"/>
  <c r="I184" i="1"/>
  <c r="E22" i="2" s="1"/>
  <c r="I69" i="1"/>
  <c r="J84" i="1" l="1"/>
  <c r="J101" i="1" l="1"/>
  <c r="J115" i="1" s="1"/>
  <c r="G221" i="1"/>
  <c r="G226" i="1"/>
  <c r="G227" i="1" s="1"/>
  <c r="G215" i="1"/>
  <c r="G204" i="1"/>
  <c r="G200" i="1"/>
  <c r="G193" i="1"/>
  <c r="G187" i="1"/>
  <c r="G184" i="1"/>
  <c r="G176" i="1"/>
  <c r="G164" i="1"/>
  <c r="G84" i="1"/>
  <c r="G77" i="1"/>
  <c r="G69" i="1"/>
  <c r="G70" i="1" s="1"/>
  <c r="G47" i="1"/>
  <c r="G43" i="1"/>
  <c r="G27" i="1"/>
  <c r="G11" i="1"/>
  <c r="G13" i="1" s="1"/>
  <c r="J222" i="1" l="1"/>
  <c r="J223" i="1" s="1"/>
  <c r="J228" i="1" s="1"/>
  <c r="C20" i="2"/>
  <c r="G201" i="1"/>
  <c r="G134" i="1"/>
  <c r="G114" i="1"/>
  <c r="G36" i="1"/>
  <c r="G169" i="1"/>
  <c r="G178" i="1" s="1"/>
  <c r="G180" i="1" s="1"/>
  <c r="G28" i="1"/>
  <c r="G101" i="1"/>
  <c r="I169" i="1"/>
  <c r="I178" i="1" s="1"/>
  <c r="F143" i="1"/>
  <c r="G115" i="1" l="1"/>
  <c r="G222" i="1" s="1"/>
  <c r="G59" i="1"/>
  <c r="G60" i="1" s="1"/>
  <c r="I16" i="2"/>
  <c r="G223" i="1" l="1"/>
  <c r="G228" i="1" s="1"/>
  <c r="I7" i="2"/>
  <c r="I11" i="2"/>
  <c r="I21" i="2"/>
  <c r="E10" i="3"/>
  <c r="C10" i="3"/>
  <c r="E9" i="3"/>
  <c r="C9" i="3"/>
  <c r="H9" i="3" s="1"/>
  <c r="E8" i="3"/>
  <c r="C8" i="3"/>
  <c r="H8" i="3" s="1"/>
  <c r="E7" i="3"/>
  <c r="H7" i="3" s="1"/>
  <c r="C7" i="3"/>
  <c r="E6" i="3"/>
  <c r="H6" i="3" s="1"/>
  <c r="C6" i="3"/>
  <c r="C5" i="3"/>
  <c r="E4" i="3"/>
  <c r="H4" i="3" s="1"/>
  <c r="C4" i="3"/>
  <c r="E122" i="1"/>
  <c r="D122" i="1"/>
  <c r="C122" i="1"/>
  <c r="B122" i="1"/>
  <c r="I105" i="1"/>
  <c r="G10" i="3" l="1"/>
  <c r="G11" i="3" s="1"/>
  <c r="G8" i="2"/>
  <c r="I8" i="2"/>
  <c r="G10" i="2"/>
  <c r="I10" i="2"/>
  <c r="G11" i="2"/>
  <c r="G7" i="2"/>
  <c r="G21" i="2"/>
  <c r="C11" i="3"/>
  <c r="H11" i="3"/>
  <c r="H12" i="3" s="1"/>
  <c r="E11" i="3"/>
  <c r="G26" i="2" l="1"/>
  <c r="I26" i="2"/>
  <c r="F23" i="1"/>
  <c r="I13" i="1"/>
  <c r="E9" i="1"/>
  <c r="F162" i="1"/>
  <c r="F105" i="1"/>
  <c r="F184" i="1" l="1"/>
  <c r="E182" i="1"/>
  <c r="E184" i="1" s="1"/>
  <c r="D182" i="1"/>
  <c r="D184" i="1" s="1"/>
  <c r="C182" i="1"/>
  <c r="C184" i="1" s="1"/>
  <c r="B182" i="1"/>
  <c r="B184" i="1" s="1"/>
  <c r="I226" i="1"/>
  <c r="I227" i="1" s="1"/>
  <c r="I204" i="1"/>
  <c r="I200" i="1"/>
  <c r="I193" i="1"/>
  <c r="I146" i="1"/>
  <c r="I180" i="1" s="1"/>
  <c r="E25" i="2" s="1"/>
  <c r="I25" i="2" s="1"/>
  <c r="I84" i="1"/>
  <c r="I77" i="1"/>
  <c r="I70" i="1"/>
  <c r="I47" i="1"/>
  <c r="I43" i="1"/>
  <c r="E14" i="2" s="1"/>
  <c r="I36" i="1"/>
  <c r="I28" i="1"/>
  <c r="E9" i="2" s="1"/>
  <c r="B226" i="1"/>
  <c r="B227" i="1" s="1"/>
  <c r="F226" i="1"/>
  <c r="F227" i="1" s="1"/>
  <c r="E225" i="1"/>
  <c r="E226" i="1" s="1"/>
  <c r="E227" i="1" s="1"/>
  <c r="D225" i="1"/>
  <c r="D226" i="1" s="1"/>
  <c r="D227" i="1" s="1"/>
  <c r="C225" i="1"/>
  <c r="C226" i="1" s="1"/>
  <c r="C227" i="1" s="1"/>
  <c r="E220" i="1"/>
  <c r="D220" i="1"/>
  <c r="C220" i="1"/>
  <c r="B220" i="1"/>
  <c r="E219" i="1"/>
  <c r="D219" i="1"/>
  <c r="C219" i="1"/>
  <c r="B219" i="1"/>
  <c r="E216" i="1"/>
  <c r="E214" i="1"/>
  <c r="D214" i="1"/>
  <c r="C214" i="1"/>
  <c r="B214" i="1"/>
  <c r="B213" i="1"/>
  <c r="F212" i="1"/>
  <c r="E212" i="1"/>
  <c r="C212" i="1"/>
  <c r="B212" i="1"/>
  <c r="E211" i="1"/>
  <c r="D211" i="1"/>
  <c r="C211" i="1"/>
  <c r="B211" i="1"/>
  <c r="E210" i="1"/>
  <c r="D210" i="1"/>
  <c r="C210" i="1"/>
  <c r="B210" i="1"/>
  <c r="E209" i="1"/>
  <c r="D209" i="1"/>
  <c r="C209" i="1"/>
  <c r="B209" i="1"/>
  <c r="E208" i="1"/>
  <c r="D208" i="1"/>
  <c r="C208" i="1"/>
  <c r="B208" i="1"/>
  <c r="B207" i="1"/>
  <c r="E205" i="1"/>
  <c r="D205" i="1"/>
  <c r="C205" i="1"/>
  <c r="B205" i="1"/>
  <c r="F204" i="1"/>
  <c r="E203" i="1"/>
  <c r="E204" i="1" s="1"/>
  <c r="D203" i="1"/>
  <c r="D204" i="1" s="1"/>
  <c r="C203" i="1"/>
  <c r="C204" i="1" s="1"/>
  <c r="B203" i="1"/>
  <c r="E199" i="1"/>
  <c r="D199" i="1"/>
  <c r="C199" i="1"/>
  <c r="B199" i="1"/>
  <c r="E198" i="1"/>
  <c r="D198" i="1"/>
  <c r="C198" i="1"/>
  <c r="E197" i="1"/>
  <c r="D197" i="1"/>
  <c r="C197" i="1"/>
  <c r="B197" i="1"/>
  <c r="D196" i="1"/>
  <c r="F192" i="1"/>
  <c r="E192" i="1"/>
  <c r="D192" i="1"/>
  <c r="C192" i="1"/>
  <c r="B192" i="1"/>
  <c r="E191" i="1"/>
  <c r="D191" i="1"/>
  <c r="C191" i="1"/>
  <c r="E190" i="1"/>
  <c r="D190" i="1"/>
  <c r="C190" i="1"/>
  <c r="B190" i="1"/>
  <c r="F187" i="1"/>
  <c r="E187" i="1"/>
  <c r="B187" i="1"/>
  <c r="D186" i="1"/>
  <c r="D187" i="1" s="1"/>
  <c r="C185" i="1"/>
  <c r="C187" i="1" s="1"/>
  <c r="D179" i="1"/>
  <c r="B179" i="1"/>
  <c r="E177" i="1"/>
  <c r="D177" i="1"/>
  <c r="C177" i="1"/>
  <c r="B177" i="1"/>
  <c r="E175" i="1"/>
  <c r="D175" i="1"/>
  <c r="C175" i="1"/>
  <c r="B175" i="1"/>
  <c r="E174" i="1"/>
  <c r="D174" i="1"/>
  <c r="E173" i="1"/>
  <c r="D173" i="1"/>
  <c r="C173" i="1"/>
  <c r="B173" i="1"/>
  <c r="E172" i="1"/>
  <c r="D172" i="1"/>
  <c r="C172" i="1"/>
  <c r="E171" i="1"/>
  <c r="D171" i="1"/>
  <c r="C171" i="1"/>
  <c r="B171" i="1"/>
  <c r="F168" i="1"/>
  <c r="E168" i="1"/>
  <c r="D168" i="1"/>
  <c r="C168" i="1"/>
  <c r="B168" i="1"/>
  <c r="F167" i="1"/>
  <c r="E167" i="1"/>
  <c r="D167" i="1"/>
  <c r="C167" i="1"/>
  <c r="B167" i="1"/>
  <c r="F166" i="1"/>
  <c r="E166" i="1"/>
  <c r="D166" i="1"/>
  <c r="C166" i="1"/>
  <c r="B166" i="1"/>
  <c r="E163" i="1"/>
  <c r="D163" i="1"/>
  <c r="C163" i="1"/>
  <c r="B163" i="1"/>
  <c r="D159" i="1"/>
  <c r="B159" i="1"/>
  <c r="B158" i="1"/>
  <c r="D157" i="1"/>
  <c r="B157" i="1"/>
  <c r="E156" i="1"/>
  <c r="E162" i="1" s="1"/>
  <c r="D156" i="1"/>
  <c r="C156" i="1"/>
  <c r="C162" i="1" s="1"/>
  <c r="E154" i="1"/>
  <c r="D154" i="1"/>
  <c r="C154" i="1"/>
  <c r="B154" i="1"/>
  <c r="E153" i="1"/>
  <c r="D153" i="1"/>
  <c r="C153" i="1"/>
  <c r="B153" i="1"/>
  <c r="E152" i="1"/>
  <c r="D152" i="1"/>
  <c r="C152" i="1"/>
  <c r="B152" i="1"/>
  <c r="E151" i="1"/>
  <c r="D151" i="1"/>
  <c r="C151" i="1"/>
  <c r="B151" i="1"/>
  <c r="E150" i="1"/>
  <c r="D150" i="1"/>
  <c r="C150" i="1"/>
  <c r="B150" i="1"/>
  <c r="E147" i="1"/>
  <c r="D147" i="1"/>
  <c r="C147" i="1"/>
  <c r="B147" i="1"/>
  <c r="E144" i="1"/>
  <c r="D144" i="1"/>
  <c r="C144" i="1"/>
  <c r="B144" i="1"/>
  <c r="E142" i="1"/>
  <c r="D142" i="1"/>
  <c r="C142" i="1"/>
  <c r="B142" i="1"/>
  <c r="E141" i="1"/>
  <c r="D141" i="1"/>
  <c r="C141" i="1"/>
  <c r="B141" i="1"/>
  <c r="E140" i="1"/>
  <c r="D140" i="1"/>
  <c r="C140" i="1"/>
  <c r="B140" i="1"/>
  <c r="E139" i="1"/>
  <c r="D139" i="1"/>
  <c r="C139" i="1"/>
  <c r="B139" i="1"/>
  <c r="B138" i="1"/>
  <c r="E133" i="1"/>
  <c r="D133" i="1"/>
  <c r="C133" i="1"/>
  <c r="B133" i="1"/>
  <c r="E132" i="1"/>
  <c r="D132" i="1"/>
  <c r="C132" i="1"/>
  <c r="B132" i="1"/>
  <c r="E131" i="1"/>
  <c r="C131" i="1"/>
  <c r="B131" i="1"/>
  <c r="E130" i="1"/>
  <c r="D130" i="1"/>
  <c r="C130" i="1"/>
  <c r="B130" i="1"/>
  <c r="E128" i="1"/>
  <c r="D128" i="1"/>
  <c r="C128" i="1"/>
  <c r="B128" i="1"/>
  <c r="E127" i="1"/>
  <c r="D127" i="1"/>
  <c r="C127" i="1"/>
  <c r="B127" i="1"/>
  <c r="E121" i="1"/>
  <c r="D121" i="1"/>
  <c r="C121" i="1"/>
  <c r="B121" i="1"/>
  <c r="E118" i="1"/>
  <c r="D118" i="1"/>
  <c r="C118" i="1"/>
  <c r="B118" i="1"/>
  <c r="E113" i="1"/>
  <c r="D113" i="1"/>
  <c r="C113" i="1"/>
  <c r="B113" i="1"/>
  <c r="D112" i="1"/>
  <c r="C112" i="1"/>
  <c r="E111" i="1"/>
  <c r="D111" i="1"/>
  <c r="C111" i="1"/>
  <c r="B111" i="1"/>
  <c r="F110" i="1"/>
  <c r="D110" i="1"/>
  <c r="B110" i="1"/>
  <c r="C109" i="1"/>
  <c r="E108" i="1"/>
  <c r="C108" i="1"/>
  <c r="B108" i="1"/>
  <c r="E106" i="1"/>
  <c r="C106" i="1"/>
  <c r="B106" i="1"/>
  <c r="E103" i="1"/>
  <c r="E105" i="1" s="1"/>
  <c r="D103" i="1"/>
  <c r="D105" i="1" s="1"/>
  <c r="C103" i="1"/>
  <c r="C105" i="1" s="1"/>
  <c r="B103" i="1"/>
  <c r="B105" i="1" s="1"/>
  <c r="E99" i="1"/>
  <c r="D99" i="1"/>
  <c r="C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1" i="1"/>
  <c r="D91" i="1"/>
  <c r="C91" i="1"/>
  <c r="B91" i="1"/>
  <c r="F89" i="1"/>
  <c r="E88" i="1"/>
  <c r="D88" i="1"/>
  <c r="C88" i="1"/>
  <c r="B88" i="1"/>
  <c r="E87" i="1"/>
  <c r="D87" i="1"/>
  <c r="C87" i="1"/>
  <c r="B87" i="1"/>
  <c r="E86" i="1"/>
  <c r="D86" i="1"/>
  <c r="C86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D79" i="1"/>
  <c r="E76" i="1"/>
  <c r="D76" i="1"/>
  <c r="C76" i="1"/>
  <c r="B76" i="1"/>
  <c r="E75" i="1"/>
  <c r="D75" i="1"/>
  <c r="C75" i="1"/>
  <c r="B75" i="1"/>
  <c r="E74" i="1"/>
  <c r="D74" i="1"/>
  <c r="E73" i="1"/>
  <c r="D73" i="1"/>
  <c r="C73" i="1"/>
  <c r="B73" i="1"/>
  <c r="B71" i="1"/>
  <c r="F68" i="1"/>
  <c r="F69" i="1" s="1"/>
  <c r="E67" i="1"/>
  <c r="E69" i="1" s="1"/>
  <c r="D67" i="1"/>
  <c r="D69" i="1" s="1"/>
  <c r="C67" i="1"/>
  <c r="C69" i="1" s="1"/>
  <c r="B67" i="1"/>
  <c r="B69" i="1" s="1"/>
  <c r="E64" i="1"/>
  <c r="D64" i="1"/>
  <c r="C64" i="1"/>
  <c r="B64" i="1"/>
  <c r="E58" i="1"/>
  <c r="D58" i="1"/>
  <c r="C58" i="1"/>
  <c r="B58" i="1"/>
  <c r="E57" i="1"/>
  <c r="D57" i="1"/>
  <c r="C57" i="1"/>
  <c r="B57" i="1"/>
  <c r="E56" i="1"/>
  <c r="D56" i="1"/>
  <c r="C56" i="1"/>
  <c r="B56" i="1"/>
  <c r="B48" i="1"/>
  <c r="F47" i="1"/>
  <c r="E46" i="1"/>
  <c r="E47" i="1" s="1"/>
  <c r="D46" i="1"/>
  <c r="D47" i="1" s="1"/>
  <c r="C46" i="1"/>
  <c r="C47" i="1" s="1"/>
  <c r="B46" i="1"/>
  <c r="B47" i="1" s="1"/>
  <c r="C44" i="1"/>
  <c r="E42" i="1"/>
  <c r="D42" i="1"/>
  <c r="C42" i="1"/>
  <c r="B42" i="1"/>
  <c r="F41" i="1"/>
  <c r="E41" i="1"/>
  <c r="D41" i="1"/>
  <c r="C41" i="1"/>
  <c r="B41" i="1"/>
  <c r="D39" i="1"/>
  <c r="E38" i="1"/>
  <c r="D38" i="1"/>
  <c r="C38" i="1"/>
  <c r="B38" i="1"/>
  <c r="E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7" i="1"/>
  <c r="F26" i="1"/>
  <c r="D26" i="1"/>
  <c r="C26" i="1"/>
  <c r="B26" i="1"/>
  <c r="D25" i="1"/>
  <c r="C25" i="1"/>
  <c r="E24" i="1"/>
  <c r="D24" i="1"/>
  <c r="C24" i="1"/>
  <c r="B24" i="1"/>
  <c r="E23" i="1"/>
  <c r="D23" i="1"/>
  <c r="C23" i="1"/>
  <c r="B23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D19" i="1"/>
  <c r="E18" i="1"/>
  <c r="D18" i="1"/>
  <c r="C18" i="1"/>
  <c r="B18" i="1"/>
  <c r="E17" i="1"/>
  <c r="D17" i="1"/>
  <c r="C17" i="1"/>
  <c r="B17" i="1"/>
  <c r="D16" i="1"/>
  <c r="B16" i="1"/>
  <c r="E15" i="1"/>
  <c r="D15" i="1"/>
  <c r="C15" i="1"/>
  <c r="B15" i="1"/>
  <c r="E12" i="1"/>
  <c r="D12" i="1"/>
  <c r="C12" i="1"/>
  <c r="B12" i="1"/>
  <c r="F11" i="1"/>
  <c r="F13" i="1" s="1"/>
  <c r="E11" i="1"/>
  <c r="D11" i="1"/>
  <c r="C11" i="1"/>
  <c r="E10" i="1"/>
  <c r="D10" i="1"/>
  <c r="C10" i="1"/>
  <c r="B10" i="1"/>
  <c r="D9" i="1"/>
  <c r="C9" i="1"/>
  <c r="B9" i="1"/>
  <c r="E8" i="1"/>
  <c r="D8" i="1"/>
  <c r="C8" i="1"/>
  <c r="B8" i="1"/>
  <c r="I101" i="1" l="1"/>
  <c r="I115" i="1" s="1"/>
  <c r="E20" i="2" s="1"/>
  <c r="I9" i="2"/>
  <c r="E12" i="2"/>
  <c r="E15" i="2" s="1"/>
  <c r="E17" i="2" s="1"/>
  <c r="I59" i="1"/>
  <c r="I60" i="1" s="1"/>
  <c r="I6" i="2"/>
  <c r="B193" i="1"/>
  <c r="B124" i="1"/>
  <c r="C124" i="1"/>
  <c r="D124" i="1"/>
  <c r="E124" i="1"/>
  <c r="I14" i="2"/>
  <c r="I201" i="1"/>
  <c r="E28" i="2" s="1"/>
  <c r="G22" i="2"/>
  <c r="I22" i="2"/>
  <c r="G23" i="2"/>
  <c r="I23" i="2"/>
  <c r="G9" i="2"/>
  <c r="G12" i="2"/>
  <c r="E221" i="1"/>
  <c r="C143" i="1"/>
  <c r="C145" i="1" s="1"/>
  <c r="C146" i="1" s="1"/>
  <c r="D200" i="1"/>
  <c r="D221" i="1"/>
  <c r="B143" i="1"/>
  <c r="B145" i="1" s="1"/>
  <c r="F114" i="1"/>
  <c r="F169" i="1"/>
  <c r="C43" i="1"/>
  <c r="E114" i="1"/>
  <c r="C129" i="1"/>
  <c r="C221" i="1"/>
  <c r="F77" i="1"/>
  <c r="F145" i="1"/>
  <c r="F146" i="1" s="1"/>
  <c r="F215" i="1"/>
  <c r="D100" i="1"/>
  <c r="C77" i="1"/>
  <c r="D114" i="1"/>
  <c r="D162" i="1"/>
  <c r="D164" i="1" s="1"/>
  <c r="B77" i="1"/>
  <c r="E70" i="1"/>
  <c r="E77" i="1"/>
  <c r="B84" i="1"/>
  <c r="B129" i="1"/>
  <c r="E176" i="1"/>
  <c r="B221" i="1"/>
  <c r="C84" i="1"/>
  <c r="F100" i="1"/>
  <c r="D36" i="1"/>
  <c r="B43" i="1"/>
  <c r="D70" i="1"/>
  <c r="D129" i="1"/>
  <c r="B169" i="1"/>
  <c r="F193" i="1"/>
  <c r="E36" i="1"/>
  <c r="B100" i="1"/>
  <c r="B28" i="1"/>
  <c r="F70" i="1"/>
  <c r="F84" i="1"/>
  <c r="C164" i="1"/>
  <c r="F221" i="1"/>
  <c r="D215" i="1"/>
  <c r="D13" i="1"/>
  <c r="E100" i="1"/>
  <c r="E129" i="1"/>
  <c r="E164" i="1"/>
  <c r="F200" i="1"/>
  <c r="E13" i="1"/>
  <c r="D43" i="1"/>
  <c r="E84" i="1"/>
  <c r="F129" i="1"/>
  <c r="D143" i="1"/>
  <c r="D145" i="1" s="1"/>
  <c r="D146" i="1" s="1"/>
  <c r="F164" i="1"/>
  <c r="D169" i="1"/>
  <c r="C176" i="1"/>
  <c r="D193" i="1"/>
  <c r="C200" i="1"/>
  <c r="C13" i="1"/>
  <c r="E43" i="1"/>
  <c r="E143" i="1"/>
  <c r="B162" i="1"/>
  <c r="B164" i="1" s="1"/>
  <c r="E169" i="1"/>
  <c r="D176" i="1"/>
  <c r="E193" i="1"/>
  <c r="B204" i="1"/>
  <c r="F28" i="1"/>
  <c r="F43" i="1"/>
  <c r="C100" i="1"/>
  <c r="E200" i="1"/>
  <c r="B215" i="1"/>
  <c r="D28" i="1"/>
  <c r="B36" i="1"/>
  <c r="F36" i="1"/>
  <c r="C70" i="1"/>
  <c r="F176" i="1"/>
  <c r="E28" i="1"/>
  <c r="C28" i="1"/>
  <c r="C36" i="1"/>
  <c r="D77" i="1"/>
  <c r="D84" i="1"/>
  <c r="C114" i="1"/>
  <c r="B114" i="1"/>
  <c r="E215" i="1"/>
  <c r="B70" i="1"/>
  <c r="C215" i="1"/>
  <c r="C169" i="1"/>
  <c r="B200" i="1"/>
  <c r="C193" i="1"/>
  <c r="B176" i="1"/>
  <c r="B13" i="1"/>
  <c r="E29" i="2" l="1"/>
  <c r="E31" i="2" s="1"/>
  <c r="I12" i="2"/>
  <c r="I20" i="2"/>
  <c r="B201" i="1"/>
  <c r="F59" i="1"/>
  <c r="F60" i="1" s="1"/>
  <c r="G14" i="2"/>
  <c r="C15" i="2"/>
  <c r="I15" i="2" s="1"/>
  <c r="G28" i="2"/>
  <c r="G24" i="2"/>
  <c r="I24" i="2"/>
  <c r="I28" i="2"/>
  <c r="I222" i="1"/>
  <c r="I223" i="1" s="1"/>
  <c r="E201" i="1"/>
  <c r="D201" i="1"/>
  <c r="F101" i="1"/>
  <c r="B134" i="1"/>
  <c r="C101" i="1"/>
  <c r="C115" i="1" s="1"/>
  <c r="E134" i="1"/>
  <c r="E59" i="1"/>
  <c r="E60" i="1" s="1"/>
  <c r="B101" i="1"/>
  <c r="B115" i="1" s="1"/>
  <c r="E178" i="1"/>
  <c r="D134" i="1"/>
  <c r="C201" i="1"/>
  <c r="C134" i="1"/>
  <c r="D59" i="1"/>
  <c r="D60" i="1" s="1"/>
  <c r="C59" i="1"/>
  <c r="C60" i="1" s="1"/>
  <c r="E101" i="1"/>
  <c r="E115" i="1" s="1"/>
  <c r="F201" i="1"/>
  <c r="F178" i="1"/>
  <c r="F180" i="1" s="1"/>
  <c r="E145" i="1"/>
  <c r="E146" i="1" s="1"/>
  <c r="D101" i="1"/>
  <c r="D115" i="1" s="1"/>
  <c r="D178" i="1"/>
  <c r="D180" i="1" s="1"/>
  <c r="F134" i="1"/>
  <c r="C178" i="1"/>
  <c r="C180" i="1" s="1"/>
  <c r="B146" i="1"/>
  <c r="B59" i="1"/>
  <c r="B178" i="1"/>
  <c r="G20" i="2" l="1"/>
  <c r="C17" i="2"/>
  <c r="G17" i="2" s="1"/>
  <c r="G15" i="2"/>
  <c r="C29" i="2"/>
  <c r="G29" i="2" s="1"/>
  <c r="G25" i="2"/>
  <c r="I29" i="2"/>
  <c r="I228" i="1"/>
  <c r="F115" i="1"/>
  <c r="F222" i="1" s="1"/>
  <c r="E180" i="1"/>
  <c r="E222" i="1" s="1"/>
  <c r="E223" i="1" s="1"/>
  <c r="E228" i="1" s="1"/>
  <c r="D222" i="1"/>
  <c r="D223" i="1" s="1"/>
  <c r="D228" i="1" s="1"/>
  <c r="C222" i="1"/>
  <c r="C223" i="1" s="1"/>
  <c r="C228" i="1" s="1"/>
  <c r="B180" i="1"/>
  <c r="B222" i="1" s="1"/>
  <c r="B60" i="1"/>
  <c r="I17" i="2" l="1"/>
  <c r="C31" i="2"/>
  <c r="F223" i="1"/>
  <c r="F228" i="1" s="1"/>
  <c r="B223" i="1"/>
  <c r="B228" i="1" l="1"/>
</calcChain>
</file>

<file path=xl/sharedStrings.xml><?xml version="1.0" encoding="utf-8"?>
<sst xmlns="http://schemas.openxmlformats.org/spreadsheetml/2006/main" count="474" uniqueCount="367">
  <si>
    <t>Jan - Dec 2020</t>
  </si>
  <si>
    <t>Jan - Dec 2021</t>
  </si>
  <si>
    <t>Jan - Dec 2022</t>
  </si>
  <si>
    <t>Jan - Dec 2023</t>
  </si>
  <si>
    <t>Income</t>
  </si>
  <si>
    <t xml:space="preserve">   100 Taxes</t>
  </si>
  <si>
    <t xml:space="preserve">      102 Special Assessments</t>
  </si>
  <si>
    <t xml:space="preserve">      41110 General Property Taxes</t>
  </si>
  <si>
    <t xml:space="preserve">      41150 Managed Forest Land Taxes</t>
  </si>
  <si>
    <t xml:space="preserve">      41160 Prior Yrs Ommited/Refund Property Taxes</t>
  </si>
  <si>
    <t xml:space="preserve">      41500 Lottery Credit</t>
  </si>
  <si>
    <t xml:space="preserve">   Total 100 Taxes</t>
  </si>
  <si>
    <t xml:space="preserve">   103 Intergovernment Revenues</t>
  </si>
  <si>
    <t xml:space="preserve">      43300 Other Fed Pmts(Fish &amp; Wildlife)</t>
  </si>
  <si>
    <t xml:space="preserve">      43310 FEMA Highway Aid</t>
  </si>
  <si>
    <t xml:space="preserve">      43420 Fire Insurance Tax/2% fire dues</t>
  </si>
  <si>
    <t xml:space="preserve">      43430 Other incl. Exempt Computer Aid</t>
  </si>
  <si>
    <t xml:space="preserve">      43533 Other Highway Aid- PECFA &amp; FEMA</t>
  </si>
  <si>
    <t xml:space="preserve">      43545 State Recycling Grant</t>
  </si>
  <si>
    <t xml:space="preserve">      43610 Pmt for Municipal Services Aid</t>
  </si>
  <si>
    <t xml:space="preserve">      43620 PILT-Conservation Lands</t>
  </si>
  <si>
    <t xml:space="preserve">      43640 Severance/yield/withdrawal tax</t>
  </si>
  <si>
    <t xml:space="preserve">      43660 DNR Pay/Yield Tax MFL Contracts</t>
  </si>
  <si>
    <t xml:space="preserve">      43710 County Highway and Bridge Aid</t>
  </si>
  <si>
    <t xml:space="preserve">      43790 OtherLocalGov't Grants(W/R2R)</t>
  </si>
  <si>
    <t xml:space="preserve">      ATC ATC Annual Payment</t>
  </si>
  <si>
    <t xml:space="preserve">   Total 103 Intergovernment Revenues</t>
  </si>
  <si>
    <t xml:space="preserve">   105 Licenses and Permits</t>
  </si>
  <si>
    <t xml:space="preserve">      44100 Business&amp;Occupational Licenses</t>
  </si>
  <si>
    <t xml:space="preserve">      44200 Nonbusiness Licenses (incl dog)</t>
  </si>
  <si>
    <t xml:space="preserve">      44300 Building Permits &amp; Inspection</t>
  </si>
  <si>
    <t xml:space="preserve">      44400 Zoning Permits &amp; Fees</t>
  </si>
  <si>
    <t xml:space="preserve">      44500 Driveway Fees</t>
  </si>
  <si>
    <t xml:space="preserve">      Liquor License Publication Fee</t>
  </si>
  <si>
    <t xml:space="preserve">   Total 105 Licenses and Permits</t>
  </si>
  <si>
    <t xml:space="preserve">   113 Interest/Div/Searches/Misc.</t>
  </si>
  <si>
    <t xml:space="preserve">      48110 Interest Income</t>
  </si>
  <si>
    <t xml:space="preserve">      48305 Sale of Trucks or Highway Equip</t>
  </si>
  <si>
    <t xml:space="preserve">      48600 Sponsor MHFD SAP Funds</t>
  </si>
  <si>
    <t xml:space="preserve">      48900 Other Misc. Revenues</t>
  </si>
  <si>
    <t xml:space="preserve">      Title Searches</t>
  </si>
  <si>
    <t xml:space="preserve">   Total 113 Interest/Div/Searches/Misc.</t>
  </si>
  <si>
    <t xml:space="preserve">   115 ARPA Local Fiscal RecoveryFunds</t>
  </si>
  <si>
    <t xml:space="preserve">   200 Misc. Inflows (not TCP Income)</t>
  </si>
  <si>
    <t xml:space="preserve">      Park Association Income</t>
  </si>
  <si>
    <t xml:space="preserve">   Total 200 Misc. Inflows (not TCP Income)</t>
  </si>
  <si>
    <t xml:space="preserve">   250 Surplus Applied</t>
  </si>
  <si>
    <t xml:space="preserve">   43410 State Shared Revenues</t>
  </si>
  <si>
    <t xml:space="preserve">   43531 State Transportation Aids</t>
  </si>
  <si>
    <t xml:space="preserve">   46743 Community Center Rental</t>
  </si>
  <si>
    <t>Total Income</t>
  </si>
  <si>
    <t>Gross Profit</t>
  </si>
  <si>
    <t>Expenses</t>
  </si>
  <si>
    <t xml:space="preserve">   118 General Government</t>
  </si>
  <si>
    <t xml:space="preserve">      51100 Legislative</t>
  </si>
  <si>
    <t xml:space="preserve">         51100a Board-Wages/PerDiem/Travel/FICA</t>
  </si>
  <si>
    <t xml:space="preserve">         51100b Plan Commission</t>
  </si>
  <si>
    <t xml:space="preserve">            PC &amp; Secretary Wages/FICA</t>
  </si>
  <si>
    <t xml:space="preserve">            PC Legal Notices</t>
  </si>
  <si>
    <t xml:space="preserve">         Total 51100b Plan Commission</t>
  </si>
  <si>
    <t xml:space="preserve">      Total 51100 Legislative</t>
  </si>
  <si>
    <t xml:space="preserve">      51300 Legal</t>
  </si>
  <si>
    <t xml:space="preserve">      51400 General Administration</t>
  </si>
  <si>
    <t xml:space="preserve">         51400a Clerk-Wages/PerDiem/Travel/FICA</t>
  </si>
  <si>
    <t xml:space="preserve">            51400aa Clerk Health Insurance</t>
  </si>
  <si>
    <t xml:space="preserve">            51400ab Clerk- Retirement</t>
  </si>
  <si>
    <t xml:space="preserve">            51400ac Deputy Clerk</t>
  </si>
  <si>
    <t xml:space="preserve">         Total 51400a Clerk-Wages/PerDiem/Travel/FICA</t>
  </si>
  <si>
    <t xml:space="preserve">         51400b Election</t>
  </si>
  <si>
    <t xml:space="preserve">            Election - Deputy Clerk</t>
  </si>
  <si>
    <t xml:space="preserve">            Election Inspectors Stipends</t>
  </si>
  <si>
    <t xml:space="preserve">            Election Notices</t>
  </si>
  <si>
    <t xml:space="preserve">            Election Related Mileage</t>
  </si>
  <si>
    <t xml:space="preserve">            Election Supplies/Machine Maint</t>
  </si>
  <si>
    <t xml:space="preserve">         Total 51400b Election</t>
  </si>
  <si>
    <t xml:space="preserve">         51400c Adminstrative Expense</t>
  </si>
  <si>
    <t xml:space="preserve">            Bank Service Charges</t>
  </si>
  <si>
    <t xml:space="preserve">            Conference Fees</t>
  </si>
  <si>
    <t xml:space="preserve">            Dog Licenses (Pmt to County)</t>
  </si>
  <si>
    <t xml:space="preserve">            Fly Dane (Data Map)</t>
  </si>
  <si>
    <t xml:space="preserve">            Internet Service</t>
  </si>
  <si>
    <t xml:space="preserve">            IT/Technology Expense</t>
  </si>
  <si>
    <t xml:space="preserve">            Legal Notices</t>
  </si>
  <si>
    <t xml:space="preserve">            Office Supplies &amp; Expenses</t>
  </si>
  <si>
    <t xml:space="preserve">            Postage &amp; Delivery</t>
  </si>
  <si>
    <t xml:space="preserve">            Printing</t>
  </si>
  <si>
    <t xml:space="preserve">            Telephone Expense</t>
  </si>
  <si>
    <t xml:space="preserve">            Town Associations Dues</t>
  </si>
  <si>
    <t xml:space="preserve">            Website</t>
  </si>
  <si>
    <t xml:space="preserve">         Total 51400c Adminstrative Expense</t>
  </si>
  <si>
    <t xml:space="preserve">      Total 51400 General Administration</t>
  </si>
  <si>
    <t xml:space="preserve">      51500 Financial Administration</t>
  </si>
  <si>
    <t xml:space="preserve">         51500a Treasurer-Wages/PerDm/Trav/FICA</t>
  </si>
  <si>
    <t xml:space="preserve">      Total 51500 Financial Administration</t>
  </si>
  <si>
    <t xml:space="preserve">      51932 Highway Insurance</t>
  </si>
  <si>
    <t xml:space="preserve">      51938 Other Insurance</t>
  </si>
  <si>
    <t xml:space="preserve">         Board Directors &amp; Officers</t>
  </si>
  <si>
    <t xml:space="preserve">         Boiler &amp; Machinery</t>
  </si>
  <si>
    <t xml:space="preserve">         Bond</t>
  </si>
  <si>
    <t xml:space="preserve">         Community Center Insurance</t>
  </si>
  <si>
    <t xml:space="preserve">         General Liability</t>
  </si>
  <si>
    <t xml:space="preserve">         Insurance -Workers Compensation</t>
  </si>
  <si>
    <t xml:space="preserve">      Total 51938 Other Insurance</t>
  </si>
  <si>
    <t xml:space="preserve">   Total 118 General Government</t>
  </si>
  <si>
    <t xml:space="preserve">   120 Public Safety</t>
  </si>
  <si>
    <t xml:space="preserve">      52200 Fire Protection</t>
  </si>
  <si>
    <t xml:space="preserve">         Cross Plains/Berry Fire Dept</t>
  </si>
  <si>
    <t xml:space="preserve">         Fire Inspection</t>
  </si>
  <si>
    <t xml:space="preserve">         Mount Horeb Fire Dept</t>
  </si>
  <si>
    <t xml:space="preserve">      Total 52200 Fire Protection</t>
  </si>
  <si>
    <t xml:space="preserve">      52300 Ambulance/EMS</t>
  </si>
  <si>
    <t xml:space="preserve">         Cross Plains/Berry EMS</t>
  </si>
  <si>
    <t xml:space="preserve">         Mt. Horeb  EMS</t>
  </si>
  <si>
    <t xml:space="preserve">      Total 52300 Ambulance/EMS</t>
  </si>
  <si>
    <t xml:space="preserve">      52400 Building Inspection(Wages&amp;FICA)</t>
  </si>
  <si>
    <t xml:space="preserve">      52500 Admin -  Public Safety</t>
  </si>
  <si>
    <t xml:space="preserve">      52900 OtrPublicSafety-Emgy Radio Syst</t>
  </si>
  <si>
    <t xml:space="preserve">      53420 Street Lights</t>
  </si>
  <si>
    <t xml:space="preserve">   Total 120 Public Safety</t>
  </si>
  <si>
    <t xml:space="preserve">   122 Transportation/Public Works</t>
  </si>
  <si>
    <t xml:space="preserve">      51600 General Bldg &amp; Plant (w/Garage)</t>
  </si>
  <si>
    <t xml:space="preserve">         51600b Garage Utilities/Supp/Maint.</t>
  </si>
  <si>
    <t xml:space="preserve">            Garage Capital Improvements</t>
  </si>
  <si>
    <t xml:space="preserve">            Lawncare/Landscaping</t>
  </si>
  <si>
    <t xml:space="preserve">            Maintenance</t>
  </si>
  <si>
    <t xml:space="preserve">            Telephone</t>
  </si>
  <si>
    <t xml:space="preserve">               Internet</t>
  </si>
  <si>
    <t xml:space="preserve">            Total Telephone</t>
  </si>
  <si>
    <t xml:space="preserve">            Utilities</t>
  </si>
  <si>
    <t xml:space="preserve">         Total 51600b Garage Utilities/Supp/Maint.</t>
  </si>
  <si>
    <t xml:space="preserve">      Total 51600 General Bldg &amp; Plant (w/Garage)</t>
  </si>
  <si>
    <t xml:space="preserve">      53100 Admin For Highways &amp; Streets</t>
  </si>
  <si>
    <t xml:space="preserve">      53311 Highway &amp; Street Maintenance</t>
  </si>
  <si>
    <t xml:space="preserve">         Road Maintenance</t>
  </si>
  <si>
    <t xml:space="preserve">            Cell Phone-Patrolman</t>
  </si>
  <si>
    <t xml:space="preserve">            Diesel</t>
  </si>
  <si>
    <t xml:space="preserve">            DOT Compliance</t>
  </si>
  <si>
    <t xml:space="preserve">            Equipment Rental</t>
  </si>
  <si>
    <t xml:space="preserve">            Materials</t>
  </si>
  <si>
    <t xml:space="preserve">            Road Projects</t>
  </si>
  <si>
    <t xml:space="preserve">               Airport Road</t>
  </si>
  <si>
    <t xml:space="preserve">               Garfoot/Braun</t>
  </si>
  <si>
    <t xml:space="preserve">               Scherbel Bridge</t>
  </si>
  <si>
    <t xml:space="preserve">               Shagbark</t>
  </si>
  <si>
    <t xml:space="preserve">            Total Road Projects</t>
  </si>
  <si>
    <t xml:space="preserve">            Road Repairs</t>
  </si>
  <si>
    <t xml:space="preserve">         Total Road Maintenance</t>
  </si>
  <si>
    <t xml:space="preserve">         Snow and Ice Control</t>
  </si>
  <si>
    <t xml:space="preserve">            Plowing Subcontractor</t>
  </si>
  <si>
    <t xml:space="preserve">            Salt and Sand Mix</t>
  </si>
  <si>
    <t xml:space="preserve">            Snow Plowing Over Time w/FICA</t>
  </si>
  <si>
    <t xml:space="preserve">         Total Snow and Ice Control</t>
  </si>
  <si>
    <t xml:space="preserve">            Health Insurance</t>
  </si>
  <si>
    <t xml:space="preserve">            Part Time Staff Wages &amp; FICA</t>
  </si>
  <si>
    <t xml:space="preserve">            Wages &amp; FICA</t>
  </si>
  <si>
    <t xml:space="preserve">            Wages &amp; FICA OT</t>
  </si>
  <si>
    <t xml:space="preserve">            WI Retirement System</t>
  </si>
  <si>
    <t xml:space="preserve">         Truck &amp; Equip. Repair &amp; Maint.</t>
  </si>
  <si>
    <t xml:space="preserve">      Total 53311 Highway &amp; Street Maintenance</t>
  </si>
  <si>
    <t xml:space="preserve">      57324 Highway Equipment Outlay</t>
  </si>
  <si>
    <t xml:space="preserve">   Total 122 Transportation/Public Works</t>
  </si>
  <si>
    <t xml:space="preserve">   124 Health &amp; Human Services</t>
  </si>
  <si>
    <t xml:space="preserve">      54600 Aging -incl senior citizen prgm</t>
  </si>
  <si>
    <t xml:space="preserve">   Total 124 Health &amp; Human Services</t>
  </si>
  <si>
    <t xml:space="preserve">   130 Capital Outlay</t>
  </si>
  <si>
    <t xml:space="preserve">      57220 CP/B District Fire Protection</t>
  </si>
  <si>
    <t xml:space="preserve">   Total 130 Capital Outlay</t>
  </si>
  <si>
    <t xml:space="preserve">   132 Debt Service-Interst&amp;Fiscal Chg</t>
  </si>
  <si>
    <t xml:space="preserve">      58212 Fire Protectioin</t>
  </si>
  <si>
    <t xml:space="preserve">         2017 CP/Berry Fire Truck Int.</t>
  </si>
  <si>
    <t xml:space="preserve">         CP Fire Rapid Response Vehicle</t>
  </si>
  <si>
    <t xml:space="preserve">         MHAJFD Fire Station Loan Pmt</t>
  </si>
  <si>
    <t xml:space="preserve">      Total 58212 Fire Protectioin</t>
  </si>
  <si>
    <t xml:space="preserve">      Highway &amp; Street</t>
  </si>
  <si>
    <t xml:space="preserve">         Airport Road Loan Interest</t>
  </si>
  <si>
    <t xml:space="preserve">         International Truck (2017) Int</t>
  </si>
  <si>
    <t xml:space="preserve">         Road Repairs Loan interest</t>
  </si>
  <si>
    <t xml:space="preserve">         Stagecoach Rd Reconst Int</t>
  </si>
  <si>
    <t xml:space="preserve">      Total Highway &amp; Street</t>
  </si>
  <si>
    <t xml:space="preserve">   Total 132 Debt Service-Interst&amp;Fiscal Chg</t>
  </si>
  <si>
    <t xml:space="preserve">   300 Misc Outflows (Not TCP Expense)</t>
  </si>
  <si>
    <t xml:space="preserve">      Park Association Expenses</t>
  </si>
  <si>
    <t xml:space="preserve">   Total 300 Misc Outflows (Not TCP Expense)</t>
  </si>
  <si>
    <t xml:space="preserve">   51500b Town Assessor/Revaluation</t>
  </si>
  <si>
    <t xml:space="preserve">   51600a Community Center Expense</t>
  </si>
  <si>
    <t xml:space="preserve">      Capital Improvements</t>
  </si>
  <si>
    <t xml:space="preserve">      Cleaning Wages &amp; FICA</t>
  </si>
  <si>
    <t xml:space="preserve">      Lawncare/Landscaping</t>
  </si>
  <si>
    <t xml:space="preserve">      Maintenance &amp; Cleaning Supp.</t>
  </si>
  <si>
    <t xml:space="preserve">      Management Wages &amp; FICA</t>
  </si>
  <si>
    <t xml:space="preserve">      Snow Removal</t>
  </si>
  <si>
    <t xml:space="preserve">      Unemployement/DWD Charges-CC</t>
  </si>
  <si>
    <t xml:space="preserve">      Utility Bills (Gas, Electric)</t>
  </si>
  <si>
    <t xml:space="preserve">   Total 51600a Community Center Expense</t>
  </si>
  <si>
    <t xml:space="preserve">   64700 Miscellaneous Expense</t>
  </si>
  <si>
    <t xml:space="preserve">   66900 Reconciliation Discrepancies</t>
  </si>
  <si>
    <t xml:space="preserve">   Trash/Recycling</t>
  </si>
  <si>
    <t xml:space="preserve">      Recycling</t>
  </si>
  <si>
    <t xml:space="preserve">      Trash</t>
  </si>
  <si>
    <t xml:space="preserve">   Total Trash/Recycling</t>
  </si>
  <si>
    <t>Total Expenses</t>
  </si>
  <si>
    <t>Net Operating Income</t>
  </si>
  <si>
    <t>Other Expenses</t>
  </si>
  <si>
    <t xml:space="preserve">   ARPA Funding Related Expenses</t>
  </si>
  <si>
    <t>Total Other Expenses</t>
  </si>
  <si>
    <t>Net Other Income</t>
  </si>
  <si>
    <t>Net Income</t>
  </si>
  <si>
    <t>Town of Cross Plains</t>
  </si>
  <si>
    <t xml:space="preserve">   257 ATC&amp;ARPA Surplus- Applied CC Capital Improv.</t>
  </si>
  <si>
    <t xml:space="preserve">            Administrative Expenses</t>
  </si>
  <si>
    <t xml:space="preserve">           Greater Madison MPO Fees</t>
  </si>
  <si>
    <t xml:space="preserve">      CARPC-Blackk Earth Creek Watershed</t>
  </si>
  <si>
    <t xml:space="preserve">      Additional Principal Payment</t>
  </si>
  <si>
    <t xml:space="preserve"> </t>
  </si>
  <si>
    <t xml:space="preserve">         Treasurer - Extra Pay for Extra Work</t>
  </si>
  <si>
    <t>Budgetting for 7 Members (Secretary's Duties are covered by Deputy Clerk)</t>
  </si>
  <si>
    <t xml:space="preserve">         Cross Plains/Berry EMS - Purchase of New Ambulance</t>
  </si>
  <si>
    <t xml:space="preserve">                                      Budget Summary for Town of Cross Plains</t>
  </si>
  <si>
    <t xml:space="preserve">% of </t>
  </si>
  <si>
    <t xml:space="preserve">$ of </t>
  </si>
  <si>
    <t>Budget</t>
  </si>
  <si>
    <t>Change</t>
  </si>
  <si>
    <t>Revenues</t>
  </si>
  <si>
    <t>General Property Taxes</t>
  </si>
  <si>
    <t>State Shared Revenue</t>
  </si>
  <si>
    <t>State Highway Aid</t>
  </si>
  <si>
    <t>Other Intergovernmental Revenues</t>
  </si>
  <si>
    <t>Annual ATC Payment</t>
  </si>
  <si>
    <t>Community Center</t>
  </si>
  <si>
    <t>Licenses and Permits</t>
  </si>
  <si>
    <t>Interest/Dividends/Searches</t>
  </si>
  <si>
    <t>Earned Revenues</t>
  </si>
  <si>
    <t>Surplus Applied</t>
  </si>
  <si>
    <t>Total Revenues</t>
  </si>
  <si>
    <t>Expenditures</t>
  </si>
  <si>
    <t>General Government</t>
  </si>
  <si>
    <t>Town Assessment</t>
  </si>
  <si>
    <t>Health &amp; Human Services</t>
  </si>
  <si>
    <t xml:space="preserve">Trash/Recycling </t>
  </si>
  <si>
    <t>Transportation (including Transportation Employment)</t>
  </si>
  <si>
    <t>Public Safety</t>
  </si>
  <si>
    <t xml:space="preserve">Debt Service </t>
  </si>
  <si>
    <t>Total Expenditures</t>
  </si>
  <si>
    <t>Net</t>
  </si>
  <si>
    <t>Line B</t>
  </si>
  <si>
    <t>After 7/1/2005</t>
  </si>
  <si>
    <t>(per Budget)</t>
  </si>
  <si>
    <t xml:space="preserve">Decrease in debt </t>
  </si>
  <si>
    <t>Debt</t>
  </si>
  <si>
    <t>Originated</t>
  </si>
  <si>
    <t>prior to 7/1/2005</t>
  </si>
  <si>
    <t>2017</t>
  </si>
  <si>
    <t>New Truck</t>
  </si>
  <si>
    <t>CP Fire Truck</t>
  </si>
  <si>
    <t>Stagecoarch RdRepl</t>
  </si>
  <si>
    <t>2019</t>
  </si>
  <si>
    <t>MHAJFD Station</t>
  </si>
  <si>
    <t>2021</t>
  </si>
  <si>
    <t>CP Fire Rapid Response Vehicle</t>
  </si>
  <si>
    <t>2022</t>
  </si>
  <si>
    <t xml:space="preserve">Road Repairs </t>
  </si>
  <si>
    <t>N/A/Annual</t>
  </si>
  <si>
    <t>Extra P Pmt</t>
  </si>
  <si>
    <t>Extra Principal Payment not to be included in the Levy Limit Worksheet Per WI DOR</t>
  </si>
  <si>
    <t>Total Debt after 7/1/2005 is added into calculation the allowable levy limit</t>
  </si>
  <si>
    <t>Budgeted for 15% Net TCP will received from Processor</t>
  </si>
  <si>
    <t>Jan - Dec 2024</t>
  </si>
  <si>
    <t>Debt Service only lists interest expense</t>
  </si>
  <si>
    <t>Misc. Town Income (Park Fund)</t>
  </si>
  <si>
    <t>Capital Outlay</t>
  </si>
  <si>
    <t>Ad Conversion Fees, never know if there will be any and how much, so budget $0.</t>
  </si>
  <si>
    <t xml:space="preserve">         Cross Plains/Berry Fire Dept  - Tender Replacement</t>
  </si>
  <si>
    <t xml:space="preserve">         Transpiration Staff Expenses</t>
  </si>
  <si>
    <t xml:space="preserve">         Total Transpiration Staff Expenses</t>
  </si>
  <si>
    <t>Assuming TCP recieves the usually Award form CP Community Chest of $1500</t>
  </si>
  <si>
    <t>Estimated</t>
  </si>
  <si>
    <t xml:space="preserve">   256 Surplus 2025 interest - 2026 Budget</t>
  </si>
  <si>
    <t xml:space="preserve">   256 Surplus interest - applied to (2024 Town Revaluation &amp; 2025 Budget)</t>
  </si>
  <si>
    <t>Surplus applied to CP Tender Replacement</t>
  </si>
  <si>
    <t>Surplus applied to Old Military Road Project - MSA Expenses</t>
  </si>
  <si>
    <t>Jan - Dec 2025</t>
  </si>
  <si>
    <t>2027 Budget Draft</t>
  </si>
  <si>
    <t xml:space="preserve">2026 Budget </t>
  </si>
  <si>
    <t xml:space="preserve">               Old Military Road</t>
  </si>
  <si>
    <t xml:space="preserve">               W Mineral Point Road - Drainage Project</t>
  </si>
  <si>
    <t>2027 Budget Worksheet</t>
  </si>
  <si>
    <t>Not being used in 2027</t>
  </si>
  <si>
    <t>4 Elections in 2027</t>
  </si>
  <si>
    <t>keep same</t>
  </si>
  <si>
    <t>Outsourced</t>
  </si>
  <si>
    <t>Figured on $?/month/Employer Share 88%</t>
  </si>
  <si>
    <t>Finished 10/2026</t>
  </si>
  <si>
    <t>Keep same as 2026</t>
  </si>
  <si>
    <t>Surplus applied to New Truck</t>
  </si>
  <si>
    <t>? What is coming up for 2027, $15,000 entered for Culverts?</t>
  </si>
  <si>
    <t>2027 Debt Service Levy</t>
  </si>
  <si>
    <t>2026 Debt Service Levy</t>
  </si>
  <si>
    <t xml:space="preserve">         Mount Horeb Fire Dept (2% Fire Dues) - adding CP/Berry for 2027</t>
  </si>
  <si>
    <t>CP Fire Truck Paid Off</t>
  </si>
  <si>
    <t>Jan - Sept 2026</t>
  </si>
  <si>
    <t>Due Assumption is that all will be paid out to Fire Deparments(see expense line below, net $0)</t>
  </si>
  <si>
    <t>Assuming 100% pass through</t>
  </si>
  <si>
    <t>Interest rates currently at 3.75 at LRB, figured on 1.2 Million</t>
  </si>
  <si>
    <t>Per WI DOR Letter 9/15/2026</t>
  </si>
  <si>
    <t>Per WI DOR Letter 9/21/2026</t>
  </si>
  <si>
    <r>
      <t xml:space="preserve">Clerk $25K plus FICA  </t>
    </r>
    <r>
      <rPr>
        <b/>
        <sz val="11"/>
        <color rgb="FF000000"/>
        <rFont val="Aptos Narrow"/>
        <family val="2"/>
        <scheme val="minor"/>
      </rPr>
      <t>Need copy of Minutes from Annual Meeting Increase?</t>
    </r>
  </si>
  <si>
    <t xml:space="preserve">Budgeting for 50 hours @ $45/hr, plus FICA (Time for Annual Town Report and  WI DOR Form CT) </t>
  </si>
  <si>
    <t xml:space="preserve">WTA-TAC dues$500, WTA Membership Dues $1,365, and DCTA $2,404.80 </t>
  </si>
  <si>
    <t>Order submiited for 300 Tons @ $101.06/Ton = $30,318, Rounded Up</t>
  </si>
  <si>
    <t>Included in General Liability below</t>
  </si>
  <si>
    <t>Figuring 10% increase on Actuals of 2026</t>
  </si>
  <si>
    <t>Figuring 10% increase on Actuals of 2025</t>
  </si>
  <si>
    <t>Added in Extra for Town costs of 1 DS300 $2,247 and 1 ExpressVote pieces of equipment $1,542</t>
  </si>
  <si>
    <t>2027 Budget</t>
  </si>
  <si>
    <t>Gallon</t>
  </si>
  <si>
    <t>household</t>
  </si>
  <si>
    <t>5 year Term</t>
  </si>
  <si>
    <t>Smaller Option</t>
  </si>
  <si>
    <t>Republic</t>
  </si>
  <si>
    <t>Trash</t>
  </si>
  <si>
    <t>Recyle</t>
  </si>
  <si>
    <t>Current</t>
  </si>
  <si>
    <t>per household/month</t>
  </si>
  <si>
    <t>2027</t>
  </si>
  <si>
    <t>Trash Every Week</t>
  </si>
  <si>
    <t>2028</t>
  </si>
  <si>
    <t>10 Year</t>
  </si>
  <si>
    <t>Pelliterri</t>
  </si>
  <si>
    <t>10 Year Term</t>
  </si>
  <si>
    <t>Fuel Charge?</t>
  </si>
  <si>
    <t>&gt; $4.00/Gallon Surcharge in place</t>
  </si>
  <si>
    <t>Difference</t>
  </si>
  <si>
    <t>Number of Residence per Assessor</t>
  </si>
  <si>
    <t>Recycle</t>
  </si>
  <si>
    <t>Pulled into 2027 Budget</t>
  </si>
  <si>
    <t>Total</t>
  </si>
  <si>
    <t>See Trash &amp; Recycling Tab</t>
  </si>
  <si>
    <t>2027; Year 4 in 5 year commitment</t>
  </si>
  <si>
    <t>2027 Budget calls for 5.1% increase</t>
  </si>
  <si>
    <t>Estimated 10% increase, based on increase from 2024 to 2025 amounts, 2026 YTD amount seems low</t>
  </si>
  <si>
    <t>? Happening in 2026 or now in 2027</t>
  </si>
  <si>
    <t>? Amount needed in 2027</t>
  </si>
  <si>
    <t>3.0% Increase Budgetted/figured 2080 hours Full Time plus FICA</t>
  </si>
  <si>
    <t>Request is for $7 per Capita ($7X1511) $10,577. Budggeted same as 2024 - 2026</t>
  </si>
  <si>
    <t>3.0% increase budgetted</t>
  </si>
  <si>
    <t>QBO $1,680/year (monthly $140.00) and all other office supplies</t>
  </si>
  <si>
    <t>Includes VC3 $2,571/year (monthly $214.25), Advance Camera Co. LLC $599.88/yr (monthly $49.99) and Zoom $319.80/year =$3,490.68</t>
  </si>
  <si>
    <t>Levy Limit Worksheet; 2026 Levy before Adjustments</t>
  </si>
  <si>
    <t>Adjustment for Debt Service (after 7/1/2025)</t>
  </si>
  <si>
    <t>Total Town Levy</t>
  </si>
  <si>
    <t>Need to do Amendments</t>
  </si>
  <si>
    <t>Any $ for Old Military Road</t>
  </si>
  <si>
    <t>New Contract/and only 571 households</t>
  </si>
  <si>
    <t>Tender Replacement in 2026</t>
  </si>
  <si>
    <t>New Truck Out fitted in 2026</t>
  </si>
  <si>
    <t>CP Fire Truck Paid off in 2026</t>
  </si>
  <si>
    <t>Levy per worksheet - Note Lower Debt Service (CP Fire Truck paid off at end of 2026</t>
  </si>
  <si>
    <t>Contract auto renewals. Seems like 12% increase between 2025 to 2026, so budget for 12% based on YTD 2026 acutal</t>
  </si>
  <si>
    <t>2027 Employer Contribution 7.25%?  AI says 7.25&amp;</t>
  </si>
  <si>
    <t xml:space="preserve">         Cross Plains/Berry Fire Dept  - DNR Grant, Tender Repl, Bldg Sealing/Radio Upgrades</t>
  </si>
  <si>
    <t>Was over listed at $135,000 - should have only 28.32% of $135,0000=$35,400  (see 2027 Budget)</t>
  </si>
  <si>
    <r>
      <t xml:space="preserve">Per Approved Budget </t>
    </r>
    <r>
      <rPr>
        <b/>
        <sz val="11"/>
        <color rgb="FF000000"/>
        <rFont val="Aptos Narrow"/>
        <family val="2"/>
        <scheme val="minor"/>
      </rPr>
      <t>Operating Section Only</t>
    </r>
    <r>
      <rPr>
        <sz val="11"/>
        <color indexed="8"/>
        <rFont val="Aptos Narrow"/>
        <family val="2"/>
        <scheme val="minor"/>
      </rPr>
      <t xml:space="preserve"> (Including $2000 Assn Dues), Note TCP is 28.78% </t>
    </r>
  </si>
  <si>
    <t>TCP Share of 2027 Capital Budget Items totalling $366,368.90 X 28.78%=105,440.97</t>
  </si>
  <si>
    <t>Surplus applied to CP/Berry Fire Dept - Capital Items</t>
  </si>
  <si>
    <t>2027 Employer Contribution is 7.25%? AI listed this %?</t>
  </si>
  <si>
    <t>Applied Surplus to CP/Berry Fire Dept Capital Budget Items</t>
  </si>
  <si>
    <r>
      <t xml:space="preserve">$12K Salary, Dogs at $25, Training Mileage $25 (inperson required for new WebBase LandNav Tax Collection System, 
plus FICA on Wages and Dogs </t>
    </r>
    <r>
      <rPr>
        <b/>
        <sz val="8"/>
        <color rgb="FF000000"/>
        <rFont val="Aptos Narrow"/>
        <family val="2"/>
        <scheme val="minor"/>
      </rPr>
      <t>Need copy of Minutes from Annual Meeting Increase?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</si>
</sst>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0\ _€"/>
    <numFmt numFmtId="165" formatCode="&quot;$&quot;* #,##0.00\ _€"/>
    <numFmt numFmtId="166" formatCode="#,##0.000000000000"/>
    <numFmt numFmtId="167" formatCode="#,##0.00000000000"/>
    <numFmt numFmtId="168" formatCode="&quot;$&quot;#,##0.00"/>
  </numFmts>
  <fonts count="19">
    <font>
      <sz val="11"/>
      <color indexed="8"/>
      <name val="Aptos Narrow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  <font>
      <b/>
      <sz val="11"/>
      <color theme="1"/>
      <name val="Aptos Narrow"/>
      <family val="2"/>
      <scheme val="minor"/>
    </font>
    <font>
      <b/>
      <sz val="8"/>
      <color indexed="8"/>
      <name val="Arial"/>
      <family val="2"/>
    </font>
    <font>
      <b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9"/>
      <color indexed="8"/>
      <name val="Arial"/>
      <family val="2"/>
    </font>
    <font>
      <b/>
      <sz val="8"/>
      <color rgb="FFFF0000"/>
      <name val="Arial"/>
      <family val="2"/>
    </font>
    <font>
      <b/>
      <sz val="11"/>
      <color rgb="FF000000"/>
      <name val="Aptos Narrow"/>
      <family val="2"/>
      <scheme val="minor"/>
    </font>
    <font>
      <sz val="8"/>
      <color indexed="8"/>
      <name val="Aptos Narrow"/>
      <family val="2"/>
      <scheme val="minor"/>
    </font>
    <font>
      <b/>
      <sz val="8"/>
      <color rgb="FF000000"/>
      <name val="Aptos Narrow"/>
      <family val="2"/>
      <scheme val="minor"/>
    </font>
    <font>
      <sz val="7.5"/>
      <color indexed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5" fontId="2" fillId="0" borderId="0" xfId="0" applyNumberFormat="1" applyFont="1" applyAlignment="1">
      <alignment horizontal="right" wrapText="1"/>
    </xf>
    <xf numFmtId="0" fontId="0" fillId="2" borderId="0" xfId="0" applyFill="1"/>
    <xf numFmtId="40" fontId="3" fillId="0" borderId="0" xfId="0" applyNumberFormat="1" applyFont="1" applyAlignment="1">
      <alignment wrapText="1"/>
    </xf>
    <xf numFmtId="40" fontId="3" fillId="0" borderId="0" xfId="0" applyNumberFormat="1" applyFont="1" applyAlignment="1">
      <alignment horizontal="right" wrapText="1"/>
    </xf>
    <xf numFmtId="40" fontId="2" fillId="0" borderId="2" xfId="0" applyNumberFormat="1" applyFont="1" applyBorder="1" applyAlignment="1">
      <alignment horizontal="right" wrapText="1"/>
    </xf>
    <xf numFmtId="4" fontId="0" fillId="0" borderId="0" xfId="0" applyNumberFormat="1"/>
    <xf numFmtId="0" fontId="0" fillId="3" borderId="0" xfId="0" applyFill="1"/>
    <xf numFmtId="165" fontId="7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4" xfId="0" applyFont="1" applyBorder="1"/>
    <xf numFmtId="3" fontId="0" fillId="0" borderId="0" xfId="0" applyNumberFormat="1"/>
    <xf numFmtId="49" fontId="9" fillId="0" borderId="0" xfId="0" applyNumberFormat="1" applyFont="1"/>
    <xf numFmtId="0" fontId="0" fillId="0" borderId="4" xfId="0" applyBorder="1"/>
    <xf numFmtId="8" fontId="0" fillId="0" borderId="0" xfId="0" applyNumberFormat="1"/>
    <xf numFmtId="167" fontId="0" fillId="0" borderId="0" xfId="0" applyNumberFormat="1"/>
    <xf numFmtId="14" fontId="6" fillId="0" borderId="0" xfId="0" quotePrefix="1" applyNumberFormat="1" applyFont="1"/>
    <xf numFmtId="4" fontId="0" fillId="3" borderId="0" xfId="0" applyNumberFormat="1" applyFill="1"/>
    <xf numFmtId="4" fontId="0" fillId="0" borderId="1" xfId="0" applyNumberFormat="1" applyBorder="1"/>
    <xf numFmtId="4" fontId="6" fillId="0" borderId="5" xfId="0" applyNumberFormat="1" applyFont="1" applyBorder="1"/>
    <xf numFmtId="40" fontId="0" fillId="0" borderId="0" xfId="0" applyNumberFormat="1"/>
    <xf numFmtId="0" fontId="2" fillId="3" borderId="0" xfId="0" applyFont="1" applyFill="1" applyAlignment="1">
      <alignment horizontal="left" wrapText="1"/>
    </xf>
    <xf numFmtId="164" fontId="3" fillId="3" borderId="0" xfId="0" applyNumberFormat="1" applyFont="1" applyFill="1" applyAlignment="1">
      <alignment wrapText="1"/>
    </xf>
    <xf numFmtId="40" fontId="3" fillId="3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0" fontId="7" fillId="3" borderId="0" xfId="0" applyFont="1" applyFill="1" applyAlignment="1">
      <alignment horizontal="left" wrapText="1"/>
    </xf>
    <xf numFmtId="0" fontId="8" fillId="3" borderId="0" xfId="0" applyFont="1" applyFill="1"/>
    <xf numFmtId="0" fontId="13" fillId="0" borderId="1" xfId="0" applyFont="1" applyBorder="1" applyAlignment="1">
      <alignment horizontal="center" wrapText="1"/>
    </xf>
    <xf numFmtId="40" fontId="11" fillId="3" borderId="0" xfId="0" applyNumberFormat="1" applyFont="1" applyFill="1" applyAlignment="1">
      <alignment horizontal="right" wrapText="1"/>
    </xf>
    <xf numFmtId="40" fontId="3" fillId="3" borderId="0" xfId="0" applyNumberFormat="1" applyFont="1" applyFill="1" applyAlignment="1">
      <alignment wrapText="1"/>
    </xf>
    <xf numFmtId="40" fontId="2" fillId="3" borderId="2" xfId="0" applyNumberFormat="1" applyFont="1" applyFill="1" applyBorder="1" applyAlignment="1">
      <alignment horizontal="right" wrapText="1"/>
    </xf>
    <xf numFmtId="40" fontId="3" fillId="2" borderId="0" xfId="0" applyNumberFormat="1" applyFont="1" applyFill="1" applyAlignment="1">
      <alignment horizontal="right" wrapText="1"/>
    </xf>
    <xf numFmtId="40" fontId="3" fillId="0" borderId="0" xfId="0" quotePrefix="1" applyNumberFormat="1" applyFont="1" applyAlignment="1">
      <alignment wrapText="1"/>
    </xf>
    <xf numFmtId="40" fontId="3" fillId="3" borderId="0" xfId="0" quotePrefix="1" applyNumberFormat="1" applyFont="1" applyFill="1" applyAlignment="1">
      <alignment wrapText="1"/>
    </xf>
    <xf numFmtId="40" fontId="0" fillId="3" borderId="0" xfId="0" applyNumberFormat="1" applyFill="1"/>
    <xf numFmtId="8" fontId="2" fillId="0" borderId="2" xfId="0" applyNumberFormat="1" applyFont="1" applyBorder="1" applyAlignment="1">
      <alignment horizontal="right" wrapText="1"/>
    </xf>
    <xf numFmtId="8" fontId="2" fillId="3" borderId="2" xfId="0" applyNumberFormat="1" applyFont="1" applyFill="1" applyBorder="1" applyAlignment="1">
      <alignment horizontal="right" wrapText="1"/>
    </xf>
    <xf numFmtId="8" fontId="2" fillId="0" borderId="2" xfId="1" applyNumberFormat="1" applyFont="1" applyBorder="1" applyAlignment="1">
      <alignment horizontal="right" wrapText="1"/>
    </xf>
    <xf numFmtId="8" fontId="2" fillId="3" borderId="2" xfId="1" applyNumberFormat="1" applyFont="1" applyFill="1" applyBorder="1" applyAlignment="1">
      <alignment horizontal="right" wrapText="1"/>
    </xf>
    <xf numFmtId="8" fontId="14" fillId="0" borderId="2" xfId="1" applyNumberFormat="1" applyFont="1" applyBorder="1" applyAlignment="1">
      <alignment horizontal="right" wrapText="1"/>
    </xf>
    <xf numFmtId="8" fontId="14" fillId="0" borderId="3" xfId="0" applyNumberFormat="1" applyFont="1" applyBorder="1" applyAlignment="1">
      <alignment horizontal="right" wrapText="1"/>
    </xf>
    <xf numFmtId="8" fontId="2" fillId="0" borderId="3" xfId="0" applyNumberFormat="1" applyFont="1" applyBorder="1" applyAlignment="1">
      <alignment horizontal="right" wrapText="1"/>
    </xf>
    <xf numFmtId="8" fontId="2" fillId="3" borderId="3" xfId="0" applyNumberFormat="1" applyFont="1" applyFill="1" applyBorder="1" applyAlignment="1">
      <alignment horizontal="right" wrapText="1"/>
    </xf>
    <xf numFmtId="40" fontId="3" fillId="5" borderId="0" xfId="0" applyNumberFormat="1" applyFont="1" applyFill="1" applyAlignment="1">
      <alignment wrapText="1"/>
    </xf>
    <xf numFmtId="40" fontId="3" fillId="5" borderId="0" xfId="0" applyNumberFormat="1" applyFont="1" applyFill="1" applyAlignment="1">
      <alignment horizontal="right" wrapText="1"/>
    </xf>
    <xf numFmtId="40" fontId="2" fillId="5" borderId="2" xfId="0" applyNumberFormat="1" applyFont="1" applyFill="1" applyBorder="1" applyAlignment="1">
      <alignment horizontal="right" wrapText="1"/>
    </xf>
    <xf numFmtId="40" fontId="2" fillId="5" borderId="0" xfId="0" applyNumberFormat="1" applyFont="1" applyFill="1" applyAlignment="1">
      <alignment horizontal="right" wrapText="1"/>
    </xf>
    <xf numFmtId="0" fontId="0" fillId="0" borderId="0" xfId="0" quotePrefix="1"/>
    <xf numFmtId="4" fontId="0" fillId="2" borderId="0" xfId="0" applyNumberFormat="1" applyFill="1"/>
    <xf numFmtId="166" fontId="0" fillId="3" borderId="0" xfId="0" applyNumberFormat="1" applyFill="1"/>
    <xf numFmtId="40" fontId="3" fillId="7" borderId="0" xfId="0" applyNumberFormat="1" applyFont="1" applyFill="1" applyAlignment="1">
      <alignment horizontal="right" wrapText="1"/>
    </xf>
    <xf numFmtId="0" fontId="0" fillId="7" borderId="0" xfId="0" applyFill="1"/>
    <xf numFmtId="0" fontId="13" fillId="3" borderId="1" xfId="0" applyFont="1" applyFill="1" applyBorder="1" applyAlignment="1">
      <alignment horizontal="center" wrapText="1"/>
    </xf>
    <xf numFmtId="40" fontId="3" fillId="3" borderId="0" xfId="0" quotePrefix="1" applyNumberFormat="1" applyFont="1" applyFill="1" applyAlignment="1">
      <alignment horizontal="right" wrapText="1"/>
    </xf>
    <xf numFmtId="40" fontId="2" fillId="3" borderId="0" xfId="0" applyNumberFormat="1" applyFont="1" applyFill="1" applyAlignment="1">
      <alignment horizontal="right" wrapText="1"/>
    </xf>
    <xf numFmtId="0" fontId="7" fillId="0" borderId="0" xfId="0" applyFont="1"/>
    <xf numFmtId="0" fontId="0" fillId="3" borderId="0" xfId="0" quotePrefix="1" applyFill="1"/>
    <xf numFmtId="6" fontId="0" fillId="2" borderId="0" xfId="0" applyNumberFormat="1" applyFill="1"/>
    <xf numFmtId="0" fontId="7" fillId="0" borderId="0" xfId="0" applyFont="1" applyAlignment="1">
      <alignment horizontal="left" wrapText="1"/>
    </xf>
    <xf numFmtId="0" fontId="0" fillId="3" borderId="4" xfId="0" applyFill="1" applyBorder="1"/>
    <xf numFmtId="4" fontId="0" fillId="3" borderId="1" xfId="0" applyNumberFormat="1" applyFill="1" applyBorder="1"/>
    <xf numFmtId="40" fontId="11" fillId="5" borderId="0" xfId="0" applyNumberFormat="1" applyFont="1" applyFill="1" applyAlignment="1">
      <alignment horizontal="right" wrapText="1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/>
    </xf>
    <xf numFmtId="6" fontId="0" fillId="3" borderId="0" xfId="0" applyNumberFormat="1" applyFill="1" applyAlignment="1">
      <alignment horizontal="right"/>
    </xf>
    <xf numFmtId="3" fontId="0" fillId="3" borderId="0" xfId="0" applyNumberFormat="1" applyFill="1"/>
    <xf numFmtId="3" fontId="0" fillId="3" borderId="4" xfId="0" applyNumberFormat="1" applyFill="1" applyBorder="1"/>
    <xf numFmtId="6" fontId="0" fillId="3" borderId="0" xfId="0" applyNumberFormat="1" applyFill="1"/>
    <xf numFmtId="6" fontId="6" fillId="3" borderId="0" xfId="0" applyNumberFormat="1" applyFont="1" applyFill="1"/>
    <xf numFmtId="8" fontId="0" fillId="3" borderId="0" xfId="0" applyNumberFormat="1" applyFill="1"/>
    <xf numFmtId="0" fontId="6" fillId="3" borderId="0" xfId="0" applyFont="1" applyFill="1"/>
    <xf numFmtId="167" fontId="0" fillId="3" borderId="0" xfId="0" applyNumberFormat="1" applyFill="1"/>
    <xf numFmtId="8" fontId="2" fillId="0" borderId="2" xfId="1" applyNumberFormat="1" applyFont="1" applyFill="1" applyBorder="1" applyAlignment="1">
      <alignment horizontal="right" wrapText="1"/>
    </xf>
    <xf numFmtId="40" fontId="3" fillId="8" borderId="0" xfId="0" applyNumberFormat="1" applyFont="1" applyFill="1" applyAlignment="1">
      <alignment horizontal="right" wrapText="1"/>
    </xf>
    <xf numFmtId="44" fontId="0" fillId="0" borderId="0" xfId="1" applyFont="1"/>
    <xf numFmtId="0" fontId="0" fillId="0" borderId="6" xfId="0" applyBorder="1"/>
    <xf numFmtId="0" fontId="0" fillId="0" borderId="7" xfId="0" applyBorder="1"/>
    <xf numFmtId="9" fontId="0" fillId="0" borderId="7" xfId="0" applyNumberFormat="1" applyBorder="1"/>
    <xf numFmtId="0" fontId="0" fillId="0" borderId="8" xfId="0" applyBorder="1"/>
    <xf numFmtId="0" fontId="0" fillId="0" borderId="9" xfId="0" applyBorder="1"/>
    <xf numFmtId="44" fontId="0" fillId="0" borderId="0" xfId="1" applyFont="1" applyBorder="1"/>
    <xf numFmtId="0" fontId="0" fillId="0" borderId="10" xfId="0" applyBorder="1"/>
    <xf numFmtId="2" fontId="0" fillId="0" borderId="9" xfId="0" applyNumberFormat="1" applyBorder="1"/>
    <xf numFmtId="44" fontId="0" fillId="0" borderId="5" xfId="1" applyFont="1" applyBorder="1"/>
    <xf numFmtId="2" fontId="0" fillId="0" borderId="0" xfId="0" applyNumberFormat="1"/>
    <xf numFmtId="44" fontId="6" fillId="0" borderId="10" xfId="1" applyFont="1" applyBorder="1"/>
    <xf numFmtId="2" fontId="0" fillId="0" borderId="0" xfId="0" quotePrefix="1" applyNumberFormat="1"/>
    <xf numFmtId="0" fontId="0" fillId="0" borderId="11" xfId="0" applyBorder="1"/>
    <xf numFmtId="2" fontId="6" fillId="0" borderId="12" xfId="0" applyNumberFormat="1" applyFont="1" applyBorder="1"/>
    <xf numFmtId="10" fontId="0" fillId="0" borderId="0" xfId="0" applyNumberFormat="1"/>
    <xf numFmtId="44" fontId="6" fillId="4" borderId="5" xfId="1" applyFont="1" applyFill="1" applyBorder="1"/>
    <xf numFmtId="0" fontId="6" fillId="4" borderId="0" xfId="0" applyFont="1" applyFill="1"/>
    <xf numFmtId="44" fontId="0" fillId="7" borderId="0" xfId="1" applyFont="1" applyFill="1"/>
    <xf numFmtId="4" fontId="0" fillId="0" borderId="5" xfId="0" applyNumberFormat="1" applyBorder="1"/>
    <xf numFmtId="0" fontId="8" fillId="9" borderId="6" xfId="0" applyFont="1" applyFill="1" applyBorder="1"/>
    <xf numFmtId="0" fontId="8" fillId="9" borderId="8" xfId="0" applyFont="1" applyFill="1" applyBorder="1"/>
    <xf numFmtId="168" fontId="8" fillId="9" borderId="9" xfId="0" applyNumberFormat="1" applyFont="1" applyFill="1" applyBorder="1"/>
    <xf numFmtId="2" fontId="8" fillId="9" borderId="10" xfId="0" applyNumberFormat="1" applyFont="1" applyFill="1" applyBorder="1"/>
    <xf numFmtId="0" fontId="8" fillId="9" borderId="10" xfId="0" applyFont="1" applyFill="1" applyBorder="1"/>
    <xf numFmtId="168" fontId="8" fillId="9" borderId="13" xfId="0" applyNumberFormat="1" applyFont="1" applyFill="1" applyBorder="1"/>
    <xf numFmtId="0" fontId="8" fillId="9" borderId="12" xfId="0" applyFont="1" applyFill="1" applyBorder="1"/>
    <xf numFmtId="38" fontId="3" fillId="4" borderId="0" xfId="0" applyNumberFormat="1" applyFont="1" applyFill="1" applyAlignment="1">
      <alignment horizontal="right" wrapText="1"/>
    </xf>
    <xf numFmtId="0" fontId="8" fillId="6" borderId="0" xfId="0" applyFont="1" applyFill="1"/>
    <xf numFmtId="6" fontId="0" fillId="0" borderId="0" xfId="0" applyNumberFormat="1"/>
    <xf numFmtId="10" fontId="0" fillId="0" borderId="4" xfId="0" applyNumberFormat="1" applyBorder="1"/>
    <xf numFmtId="6" fontId="0" fillId="0" borderId="4" xfId="0" applyNumberFormat="1" applyBorder="1"/>
    <xf numFmtId="40" fontId="3" fillId="0" borderId="0" xfId="0" applyNumberFormat="1" applyFont="1" applyFill="1" applyAlignment="1">
      <alignment horizontal="right" wrapText="1"/>
    </xf>
    <xf numFmtId="0" fontId="0" fillId="0" borderId="0" xfId="0" applyFill="1"/>
    <xf numFmtId="40" fontId="2" fillId="3" borderId="0" xfId="0" applyNumberFormat="1" applyFont="1" applyFill="1" applyBorder="1" applyAlignment="1">
      <alignment horizontal="right" wrapText="1"/>
    </xf>
    <xf numFmtId="40" fontId="11" fillId="5" borderId="0" xfId="0" applyNumberFormat="1" applyFont="1" applyFill="1" applyAlignment="1">
      <alignment horizontal="righ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wrapText="1"/>
    </xf>
    <xf numFmtId="4" fontId="0" fillId="0" borderId="0" xfId="0" applyNumberFormat="1" applyAlignment="1">
      <alignment wrapText="1"/>
    </xf>
    <xf numFmtId="0" fontId="0" fillId="3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7" borderId="0" xfId="0" applyFill="1" applyAlignment="1">
      <alignment wrapText="1"/>
    </xf>
    <xf numFmtId="4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0" fontId="0" fillId="0" borderId="0" xfId="0" quotePrefix="1" applyAlignment="1">
      <alignment wrapText="1"/>
    </xf>
    <xf numFmtId="0" fontId="0" fillId="0" borderId="0" xfId="0" applyFill="1" applyAlignment="1">
      <alignment wrapText="1"/>
    </xf>
    <xf numFmtId="0" fontId="8" fillId="3" borderId="0" xfId="0" applyFont="1" applyFill="1" applyAlignment="1">
      <alignment wrapText="1"/>
    </xf>
    <xf numFmtId="0" fontId="0" fillId="2" borderId="0" xfId="0" quotePrefix="1" applyFill="1" applyAlignment="1">
      <alignment wrapText="1"/>
    </xf>
    <xf numFmtId="0" fontId="16" fillId="2" borderId="0" xfId="0" applyFont="1" applyFill="1" applyAlignment="1">
      <alignment horizontal="left" wrapText="1"/>
    </xf>
    <xf numFmtId="0" fontId="18" fillId="0" borderId="0" xfId="0" applyFont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onni/Desktop/TCP%202024%20Budget%20Worksheet%2010-22-2023%20Draft%20%2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ed Budget Worksheet"/>
      <sheetName val="Budget Summary"/>
      <sheetName val="Debt Service"/>
    </sheetNames>
    <sheetDataSet>
      <sheetData sheetId="0">
        <row r="186">
          <cell r="P186">
            <v>9638</v>
          </cell>
          <cell r="R186">
            <v>9638</v>
          </cell>
        </row>
        <row r="189">
          <cell r="P189">
            <v>13890.33</v>
          </cell>
          <cell r="R189">
            <v>13890.33</v>
          </cell>
        </row>
        <row r="190">
          <cell r="P190">
            <v>39930.36</v>
          </cell>
          <cell r="R190">
            <v>39930.36</v>
          </cell>
        </row>
        <row r="191">
          <cell r="P191">
            <v>59835.31</v>
          </cell>
          <cell r="R191">
            <v>59835.31</v>
          </cell>
        </row>
        <row r="194">
          <cell r="R194">
            <v>18882.919999999998</v>
          </cell>
        </row>
        <row r="195">
          <cell r="P195">
            <v>8294.8799999999992</v>
          </cell>
          <cell r="R195">
            <v>8294.8799999999992</v>
          </cell>
        </row>
        <row r="198">
          <cell r="P198">
            <v>13717.02</v>
          </cell>
          <cell r="R198">
            <v>13717.02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tabSelected="1" zoomScaleNormal="100" workbookViewId="0">
      <selection activeCell="A3" sqref="A3:G3"/>
    </sheetView>
  </sheetViews>
  <sheetFormatPr defaultRowHeight="14.25"/>
  <cols>
    <col min="1" max="1" width="56.75" customWidth="1"/>
    <col min="2" max="5" width="10.75" hidden="1" customWidth="1"/>
    <col min="6" max="6" width="10.75" style="11" customWidth="1"/>
    <col min="7" max="7" width="10.75" style="11" bestFit="1" customWidth="1"/>
    <col min="8" max="8" width="10.75" bestFit="1" customWidth="1"/>
    <col min="9" max="10" width="12" style="11" customWidth="1"/>
    <col min="11" max="11" width="79.125" style="1" bestFit="1" customWidth="1"/>
    <col min="12" max="12" width="11.875" style="11" bestFit="1" customWidth="1"/>
    <col min="13" max="13" width="28.875" style="11" bestFit="1" customWidth="1"/>
    <col min="14" max="14" width="10.75" style="11" customWidth="1"/>
    <col min="15" max="15" width="23.125" style="11" customWidth="1"/>
    <col min="16" max="16" width="9.5" bestFit="1" customWidth="1"/>
  </cols>
  <sheetData>
    <row r="1" spans="1:12" ht="18">
      <c r="A1" s="115" t="s">
        <v>207</v>
      </c>
      <c r="B1" s="116"/>
      <c r="C1" s="116"/>
      <c r="D1" s="116"/>
      <c r="E1" s="116"/>
      <c r="F1" s="116"/>
      <c r="G1" s="116"/>
      <c r="H1" t="s">
        <v>213</v>
      </c>
    </row>
    <row r="2" spans="1:12" ht="18">
      <c r="A2" s="117" t="s">
        <v>285</v>
      </c>
      <c r="B2" s="116"/>
      <c r="C2" s="116"/>
      <c r="D2" s="116"/>
      <c r="E2" s="116"/>
      <c r="F2" s="116"/>
      <c r="G2" s="116"/>
    </row>
    <row r="3" spans="1:12">
      <c r="A3" s="118" t="s">
        <v>213</v>
      </c>
      <c r="B3" s="116"/>
      <c r="C3" s="116"/>
      <c r="D3" s="116"/>
      <c r="E3" s="116"/>
      <c r="F3" s="116"/>
      <c r="G3" s="116"/>
    </row>
    <row r="5" spans="1:12" ht="24">
      <c r="A5" s="1"/>
      <c r="B5" s="2" t="s">
        <v>0</v>
      </c>
      <c r="C5" s="2" t="s">
        <v>1</v>
      </c>
      <c r="D5" s="31" t="s">
        <v>2</v>
      </c>
      <c r="E5" s="2" t="s">
        <v>3</v>
      </c>
      <c r="F5" s="28" t="s">
        <v>266</v>
      </c>
      <c r="G5" s="28" t="s">
        <v>280</v>
      </c>
      <c r="H5" s="2" t="s">
        <v>299</v>
      </c>
      <c r="I5" s="56" t="s">
        <v>282</v>
      </c>
      <c r="J5" s="56" t="s">
        <v>281</v>
      </c>
    </row>
    <row r="6" spans="1:12">
      <c r="A6" s="3" t="s">
        <v>4</v>
      </c>
      <c r="B6" s="4"/>
      <c r="C6" s="4"/>
      <c r="D6" s="4"/>
      <c r="E6" s="4"/>
      <c r="F6" s="26"/>
      <c r="G6" s="26"/>
      <c r="H6" s="4"/>
      <c r="I6" s="33"/>
      <c r="J6" s="33"/>
    </row>
    <row r="7" spans="1:12">
      <c r="A7" s="3" t="s">
        <v>5</v>
      </c>
      <c r="B7" s="7"/>
      <c r="C7" s="7"/>
      <c r="D7" s="7"/>
      <c r="E7" s="7"/>
      <c r="F7" s="33"/>
      <c r="G7" s="33"/>
      <c r="H7" s="7"/>
      <c r="I7" s="27"/>
      <c r="J7" s="27"/>
    </row>
    <row r="8" spans="1:12">
      <c r="A8" s="3" t="s">
        <v>6</v>
      </c>
      <c r="B8" s="8">
        <f>-34.68</f>
        <v>-34.68</v>
      </c>
      <c r="C8" s="8">
        <f>-0.55</f>
        <v>-0.55000000000000004</v>
      </c>
      <c r="D8" s="8">
        <f>10.24</f>
        <v>10.24</v>
      </c>
      <c r="E8" s="8">
        <f>132.11</f>
        <v>132.11000000000001</v>
      </c>
      <c r="F8" s="27">
        <v>22.1</v>
      </c>
      <c r="G8" s="27">
        <v>-7339.08</v>
      </c>
      <c r="H8" s="8">
        <v>-7344</v>
      </c>
      <c r="I8" s="27">
        <v>0</v>
      </c>
      <c r="J8" s="27">
        <v>0</v>
      </c>
    </row>
    <row r="9" spans="1:12">
      <c r="A9" s="3" t="s">
        <v>7</v>
      </c>
      <c r="B9" s="8">
        <f>669060.46</f>
        <v>669060.46</v>
      </c>
      <c r="C9" s="8">
        <f>725484.97</f>
        <v>725484.97</v>
      </c>
      <c r="D9" s="8">
        <f>729448.51</f>
        <v>729448.51</v>
      </c>
      <c r="E9" s="8">
        <f>736184.55-1114.58</f>
        <v>735069.97000000009</v>
      </c>
      <c r="F9" s="8">
        <v>755012.21</v>
      </c>
      <c r="G9" s="8">
        <v>790841.2</v>
      </c>
      <c r="H9" s="8">
        <v>844251.48</v>
      </c>
      <c r="I9" s="27">
        <f>793984+5495.52+45000</f>
        <v>844479.52</v>
      </c>
      <c r="J9" s="105">
        <f>+'Debt Service &amp; Levy Calculation'!H17</f>
        <v>785987.9</v>
      </c>
      <c r="K9" s="120" t="s">
        <v>356</v>
      </c>
    </row>
    <row r="10" spans="1:12">
      <c r="A10" s="3" t="s">
        <v>8</v>
      </c>
      <c r="B10" s="8">
        <f>4110.3</f>
        <v>4110.3</v>
      </c>
      <c r="C10" s="8">
        <f>4451.75</f>
        <v>4451.75</v>
      </c>
      <c r="D10" s="8">
        <f>4258.96</f>
        <v>4258.96</v>
      </c>
      <c r="E10" s="8">
        <f>4481.44</f>
        <v>4481.4399999999996</v>
      </c>
      <c r="F10" s="33">
        <v>6357.05</v>
      </c>
      <c r="G10" s="33">
        <v>-1388.14</v>
      </c>
      <c r="H10" s="7">
        <v>202.62</v>
      </c>
      <c r="I10" s="27">
        <v>0</v>
      </c>
      <c r="J10" s="27">
        <v>0</v>
      </c>
      <c r="K10" s="121" t="s">
        <v>213</v>
      </c>
    </row>
    <row r="11" spans="1:12">
      <c r="A11" s="3" t="s">
        <v>9</v>
      </c>
      <c r="B11" s="7"/>
      <c r="C11" s="8">
        <f>7025.59</f>
        <v>7025.59</v>
      </c>
      <c r="D11" s="8">
        <f>-328.44</f>
        <v>-328.44</v>
      </c>
      <c r="E11" s="8">
        <f>3665.1</f>
        <v>3665.1</v>
      </c>
      <c r="F11" s="27">
        <f>0</f>
        <v>0</v>
      </c>
      <c r="G11" s="27">
        <f>0</f>
        <v>0</v>
      </c>
      <c r="H11" s="8">
        <v>-3092.01</v>
      </c>
      <c r="I11" s="27">
        <v>0</v>
      </c>
      <c r="J11" s="27">
        <v>0</v>
      </c>
      <c r="L11" s="11" t="s">
        <v>213</v>
      </c>
    </row>
    <row r="12" spans="1:12">
      <c r="A12" s="3" t="s">
        <v>10</v>
      </c>
      <c r="B12" s="8">
        <f>13769.62</f>
        <v>13769.62</v>
      </c>
      <c r="C12" s="8">
        <f>12077.71</f>
        <v>12077.71</v>
      </c>
      <c r="D12" s="8">
        <f>17713.73</f>
        <v>17713.73</v>
      </c>
      <c r="E12" s="8">
        <f>17734.79</f>
        <v>17734.79</v>
      </c>
      <c r="F12" s="27">
        <v>19986.54</v>
      </c>
      <c r="G12" s="27">
        <v>16219.71</v>
      </c>
      <c r="H12" s="8">
        <v>15405.85</v>
      </c>
      <c r="I12" s="27">
        <v>0</v>
      </c>
      <c r="J12" s="27">
        <v>0</v>
      </c>
    </row>
    <row r="13" spans="1:12">
      <c r="A13" s="3" t="s">
        <v>11</v>
      </c>
      <c r="B13" s="9">
        <f t="shared" ref="B13:G13" si="0">(((((B7)+(B8))+(B9))+(B10))+(B11))+(B12)</f>
        <v>686905.7</v>
      </c>
      <c r="C13" s="9">
        <f t="shared" si="0"/>
        <v>749039.46999999986</v>
      </c>
      <c r="D13" s="9">
        <f t="shared" si="0"/>
        <v>751103</v>
      </c>
      <c r="E13" s="9">
        <f t="shared" si="0"/>
        <v>761083.41</v>
      </c>
      <c r="F13" s="34">
        <f>(((((F7)+(F8))+(F9))+(F10))+(F11))+(F12)</f>
        <v>781377.9</v>
      </c>
      <c r="G13" s="34">
        <f t="shared" si="0"/>
        <v>798333.69</v>
      </c>
      <c r="H13" s="9">
        <f t="shared" ref="H13" si="1">(((((H7)+(H8))+(H9))+(H10))+(H11))+(H12)</f>
        <v>849423.94</v>
      </c>
      <c r="I13" s="34">
        <f>SUM(I8:I12)</f>
        <v>844479.52</v>
      </c>
      <c r="J13" s="34">
        <f>SUM(J8:J12)</f>
        <v>785987.9</v>
      </c>
    </row>
    <row r="14" spans="1:12">
      <c r="A14" s="3" t="s">
        <v>12</v>
      </c>
      <c r="B14" s="7"/>
      <c r="C14" s="7"/>
      <c r="D14" s="7"/>
      <c r="E14" s="7"/>
      <c r="F14" s="33"/>
      <c r="G14" s="33"/>
      <c r="H14" s="7"/>
      <c r="I14" s="27"/>
      <c r="J14" s="27"/>
    </row>
    <row r="15" spans="1:12">
      <c r="A15" s="3" t="s">
        <v>13</v>
      </c>
      <c r="B15" s="8">
        <f>2987</f>
        <v>2987</v>
      </c>
      <c r="C15" s="8">
        <f>2808</f>
        <v>2808</v>
      </c>
      <c r="D15" s="8">
        <f>2784</f>
        <v>2784</v>
      </c>
      <c r="E15" s="8">
        <f>3115</f>
        <v>3115</v>
      </c>
      <c r="F15" s="33">
        <v>2906</v>
      </c>
      <c r="G15" s="33">
        <v>2791</v>
      </c>
      <c r="H15" s="7">
        <v>2962</v>
      </c>
      <c r="I15" s="27">
        <v>2800</v>
      </c>
      <c r="J15" s="27">
        <v>2962</v>
      </c>
      <c r="K15" s="122" t="s">
        <v>213</v>
      </c>
    </row>
    <row r="16" spans="1:12">
      <c r="A16" s="3" t="s">
        <v>14</v>
      </c>
      <c r="B16" s="8">
        <f>5720.44</f>
        <v>5720.44</v>
      </c>
      <c r="C16" s="7"/>
      <c r="D16" s="8">
        <f>82569.64</f>
        <v>82569.64</v>
      </c>
      <c r="E16" s="7"/>
      <c r="F16" s="33"/>
      <c r="G16" s="33"/>
      <c r="H16" s="7"/>
      <c r="I16" s="27">
        <v>0</v>
      </c>
      <c r="J16" s="27">
        <v>0</v>
      </c>
      <c r="K16" s="122"/>
    </row>
    <row r="17" spans="1:11">
      <c r="A17" s="3" t="s">
        <v>15</v>
      </c>
      <c r="B17" s="8">
        <f>9049.01</f>
        <v>9049.01</v>
      </c>
      <c r="C17" s="8">
        <f>9937.31</f>
        <v>9937.31</v>
      </c>
      <c r="D17" s="8">
        <f>10115.05</f>
        <v>10115.049999999999</v>
      </c>
      <c r="E17" s="8">
        <f>10818.21</f>
        <v>10818.21</v>
      </c>
      <c r="F17" s="33">
        <v>12773.09</v>
      </c>
      <c r="G17" s="33">
        <v>15124.94</v>
      </c>
      <c r="H17" s="7">
        <v>15858.48</v>
      </c>
      <c r="I17" s="27">
        <v>15124.94</v>
      </c>
      <c r="J17" s="77">
        <v>15858.48</v>
      </c>
      <c r="K17" s="123" t="s">
        <v>300</v>
      </c>
    </row>
    <row r="18" spans="1:11">
      <c r="A18" s="3" t="s">
        <v>16</v>
      </c>
      <c r="B18" s="8">
        <f>1128.09</f>
        <v>1128.0899999999999</v>
      </c>
      <c r="C18" s="8">
        <f>2733.49</f>
        <v>2733.49</v>
      </c>
      <c r="D18" s="8">
        <f>1128.09</f>
        <v>1128.0899999999999</v>
      </c>
      <c r="E18" s="8">
        <f>13.51</f>
        <v>13.51</v>
      </c>
      <c r="F18" s="33">
        <v>13.51</v>
      </c>
      <c r="G18" s="33">
        <v>13.51</v>
      </c>
      <c r="H18" s="7">
        <v>13.51</v>
      </c>
      <c r="I18" s="27">
        <v>13.51</v>
      </c>
      <c r="J18" s="27">
        <v>13.51</v>
      </c>
      <c r="K18" s="122"/>
    </row>
    <row r="19" spans="1:11">
      <c r="A19" s="3" t="s">
        <v>17</v>
      </c>
      <c r="B19" s="7"/>
      <c r="C19" s="7"/>
      <c r="D19" s="8">
        <f>909069.88</f>
        <v>909069.88</v>
      </c>
      <c r="E19" s="7"/>
      <c r="F19" s="33"/>
      <c r="G19" s="33"/>
      <c r="H19" s="7"/>
      <c r="I19" s="27">
        <v>0</v>
      </c>
      <c r="J19" s="27">
        <v>0</v>
      </c>
      <c r="K19" s="122"/>
    </row>
    <row r="20" spans="1:11">
      <c r="A20" s="3" t="s">
        <v>18</v>
      </c>
      <c r="B20" s="8">
        <f>3317.26</f>
        <v>3317.26</v>
      </c>
      <c r="C20" s="8">
        <f>3329.32</f>
        <v>3329.32</v>
      </c>
      <c r="D20" s="8">
        <f>3320.82</f>
        <v>3320.82</v>
      </c>
      <c r="E20" s="8">
        <f>3322.51</f>
        <v>3322.51</v>
      </c>
      <c r="F20" s="27">
        <f>3326.79</f>
        <v>3326.79</v>
      </c>
      <c r="G20" s="27">
        <v>3324.84</v>
      </c>
      <c r="H20" s="8">
        <v>3324.94</v>
      </c>
      <c r="I20" s="27">
        <v>3324.84</v>
      </c>
      <c r="J20" s="27">
        <v>3324.94</v>
      </c>
      <c r="K20" s="122"/>
    </row>
    <row r="21" spans="1:11">
      <c r="A21" s="3" t="s">
        <v>19</v>
      </c>
      <c r="B21" s="8">
        <f>291.79</f>
        <v>291.79000000000002</v>
      </c>
      <c r="C21" s="8">
        <f>394.55</f>
        <v>394.55</v>
      </c>
      <c r="D21" s="8">
        <f>446.36</f>
        <v>446.36</v>
      </c>
      <c r="E21" s="8">
        <f>474.21</f>
        <v>474.21</v>
      </c>
      <c r="F21" s="27">
        <f>721.61</f>
        <v>721.61</v>
      </c>
      <c r="G21" s="27">
        <v>578.94000000000005</v>
      </c>
      <c r="H21" s="8">
        <v>586.15</v>
      </c>
      <c r="I21" s="27">
        <v>578.94000000000005</v>
      </c>
      <c r="J21" s="27">
        <v>586.15</v>
      </c>
      <c r="K21" s="122"/>
    </row>
    <row r="22" spans="1:11">
      <c r="A22" s="3" t="s">
        <v>20</v>
      </c>
      <c r="B22" s="8">
        <f>8058.87</f>
        <v>8058.87</v>
      </c>
      <c r="C22" s="8">
        <f>7556.53</f>
        <v>7556.53</v>
      </c>
      <c r="D22" s="8">
        <f>8273.4</f>
        <v>8273.4</v>
      </c>
      <c r="E22" s="8">
        <f>7367.6</f>
        <v>7367.6</v>
      </c>
      <c r="F22" s="27">
        <v>7124.35</v>
      </c>
      <c r="G22" s="27">
        <v>7188.48</v>
      </c>
      <c r="H22" s="8">
        <v>10954.15</v>
      </c>
      <c r="I22" s="27">
        <v>7188.48</v>
      </c>
      <c r="J22" s="27">
        <f>+H22</f>
        <v>10954.15</v>
      </c>
      <c r="K22" s="122"/>
    </row>
    <row r="23" spans="1:11">
      <c r="A23" s="3" t="s">
        <v>21</v>
      </c>
      <c r="B23" s="8">
        <f>1461.4</f>
        <v>1461.4</v>
      </c>
      <c r="C23" s="8">
        <f>11318.56</f>
        <v>11318.56</v>
      </c>
      <c r="D23" s="8">
        <f>486.16</f>
        <v>486.16</v>
      </c>
      <c r="E23" s="8">
        <f>3140.87</f>
        <v>3140.87</v>
      </c>
      <c r="F23" s="8">
        <f>2885.92</f>
        <v>2885.92</v>
      </c>
      <c r="G23" s="27">
        <v>10855.65</v>
      </c>
      <c r="H23" s="8">
        <v>0</v>
      </c>
      <c r="I23" s="27">
        <v>0</v>
      </c>
      <c r="J23" s="27">
        <v>0</v>
      </c>
      <c r="K23" s="122" t="s">
        <v>270</v>
      </c>
    </row>
    <row r="24" spans="1:11" ht="12" customHeight="1">
      <c r="A24" s="3" t="s">
        <v>22</v>
      </c>
      <c r="B24" s="8">
        <f>156.08</f>
        <v>156.08000000000001</v>
      </c>
      <c r="C24" s="8">
        <f>176.77</f>
        <v>176.77</v>
      </c>
      <c r="D24" s="8">
        <f>196.18</f>
        <v>196.18</v>
      </c>
      <c r="E24" s="8">
        <f>221.18</f>
        <v>221.18</v>
      </c>
      <c r="F24" s="8">
        <v>180.7</v>
      </c>
      <c r="G24" s="27">
        <v>168.5</v>
      </c>
      <c r="H24" s="8">
        <v>0</v>
      </c>
      <c r="I24" s="27">
        <v>210</v>
      </c>
      <c r="J24" s="27">
        <v>210</v>
      </c>
      <c r="K24" s="1" t="s">
        <v>213</v>
      </c>
    </row>
    <row r="25" spans="1:11">
      <c r="A25" s="3" t="s">
        <v>23</v>
      </c>
      <c r="B25" s="7"/>
      <c r="C25" s="8">
        <f>171637.48</f>
        <v>171637.48</v>
      </c>
      <c r="D25" s="8">
        <f>50503.88</f>
        <v>50503.88</v>
      </c>
      <c r="E25" s="7"/>
      <c r="F25" s="33"/>
      <c r="G25" s="33"/>
      <c r="H25" s="7"/>
      <c r="I25" s="27">
        <v>0</v>
      </c>
      <c r="J25" s="27">
        <v>0</v>
      </c>
    </row>
    <row r="26" spans="1:11">
      <c r="A26" s="3" t="s">
        <v>24</v>
      </c>
      <c r="B26" s="8">
        <f>28125.61</f>
        <v>28125.61</v>
      </c>
      <c r="C26" s="8">
        <f>0</f>
        <v>0</v>
      </c>
      <c r="D26" s="8">
        <f>900073.69</f>
        <v>900073.69</v>
      </c>
      <c r="E26" s="7"/>
      <c r="F26" s="27">
        <f>600</f>
        <v>600</v>
      </c>
      <c r="G26" s="27">
        <v>1100</v>
      </c>
      <c r="H26" s="8">
        <v>0</v>
      </c>
      <c r="I26" s="27">
        <v>0</v>
      </c>
      <c r="J26" s="27">
        <v>0</v>
      </c>
    </row>
    <row r="27" spans="1:11">
      <c r="A27" s="3" t="s">
        <v>25</v>
      </c>
      <c r="B27" s="7"/>
      <c r="C27" s="7"/>
      <c r="D27" s="7"/>
      <c r="E27" s="8">
        <f>86508.84</f>
        <v>86508.84</v>
      </c>
      <c r="F27" s="27">
        <v>86508.84</v>
      </c>
      <c r="G27" s="27">
        <f>86508.84</f>
        <v>86508.84</v>
      </c>
      <c r="H27" s="8">
        <f>86508.84</f>
        <v>86508.84</v>
      </c>
      <c r="I27" s="27">
        <v>86508.84</v>
      </c>
      <c r="J27" s="27">
        <f>+I27</f>
        <v>86508.84</v>
      </c>
    </row>
    <row r="28" spans="1:11">
      <c r="A28" s="3" t="s">
        <v>26</v>
      </c>
      <c r="B28" s="9">
        <f t="shared" ref="B28:G28" si="2">(((((((((((((B14)+(B15))+(B16))+(B17))+(B18))+(B19))+(B20))+(B21))+(B22))+(B23))+(B24))+(B25))+(B26))+(B27)</f>
        <v>60295.55</v>
      </c>
      <c r="C28" s="9">
        <f t="shared" si="2"/>
        <v>209892.01</v>
      </c>
      <c r="D28" s="9">
        <f t="shared" si="2"/>
        <v>1968967.15</v>
      </c>
      <c r="E28" s="9">
        <f t="shared" si="2"/>
        <v>114981.93</v>
      </c>
      <c r="F28" s="34">
        <f t="shared" si="2"/>
        <v>117040.81</v>
      </c>
      <c r="G28" s="34">
        <f t="shared" si="2"/>
        <v>127654.7</v>
      </c>
      <c r="H28" s="9">
        <f t="shared" ref="H28" si="3">(((((((((((((H14)+(H15))+(H16))+(H17))+(H18))+(H19))+(H20))+(H21))+(H22))+(H23))+(H24))+(H25))+(H26))+(H27)</f>
        <v>120208.06999999999</v>
      </c>
      <c r="I28" s="34">
        <f>+SUM(I15:I27)</f>
        <v>115749.54999999999</v>
      </c>
      <c r="J28" s="34">
        <f>+SUM(J15:J27)</f>
        <v>120418.06999999999</v>
      </c>
    </row>
    <row r="29" spans="1:11">
      <c r="A29" s="3" t="s">
        <v>27</v>
      </c>
      <c r="B29" s="7"/>
      <c r="C29" s="7"/>
      <c r="D29" s="7"/>
      <c r="E29" s="7"/>
      <c r="F29" s="33"/>
      <c r="G29" s="33"/>
      <c r="H29" s="7"/>
      <c r="I29" s="27"/>
      <c r="J29" s="27"/>
    </row>
    <row r="30" spans="1:11">
      <c r="A30" s="3" t="s">
        <v>28</v>
      </c>
      <c r="B30" s="8">
        <f>1159.5</f>
        <v>1159.5</v>
      </c>
      <c r="C30" s="8">
        <f>1041.6</f>
        <v>1041.5999999999999</v>
      </c>
      <c r="D30" s="8">
        <f>1118.14</f>
        <v>1118.1400000000001</v>
      </c>
      <c r="E30" s="8">
        <f>1058.5</f>
        <v>1058.5</v>
      </c>
      <c r="F30" s="33">
        <v>1049.5</v>
      </c>
      <c r="G30" s="33">
        <v>1139.5</v>
      </c>
      <c r="H30" s="7">
        <v>947.5</v>
      </c>
      <c r="I30" s="27">
        <v>1000</v>
      </c>
      <c r="J30" s="27">
        <v>1000</v>
      </c>
      <c r="K30" s="1" t="s">
        <v>213</v>
      </c>
    </row>
    <row r="31" spans="1:11">
      <c r="A31" s="3" t="s">
        <v>29</v>
      </c>
      <c r="B31" s="8">
        <f>1489.5</f>
        <v>1489.5</v>
      </c>
      <c r="C31" s="8">
        <f>1255</f>
        <v>1255</v>
      </c>
      <c r="D31" s="8">
        <f>1482.5</f>
        <v>1482.5</v>
      </c>
      <c r="E31" s="8">
        <f>1400</f>
        <v>1400</v>
      </c>
      <c r="F31" s="27">
        <v>1389</v>
      </c>
      <c r="G31" s="27">
        <v>1616</v>
      </c>
      <c r="H31" s="8">
        <v>1857.75</v>
      </c>
      <c r="I31" s="27">
        <v>1400</v>
      </c>
      <c r="J31" s="27">
        <v>1600</v>
      </c>
    </row>
    <row r="32" spans="1:11">
      <c r="A32" s="3" t="s">
        <v>30</v>
      </c>
      <c r="B32" s="8">
        <f>16815.75</f>
        <v>16815.75</v>
      </c>
      <c r="C32" s="8">
        <f>32368.52</f>
        <v>32368.52</v>
      </c>
      <c r="D32" s="8">
        <f>32313.36</f>
        <v>32313.360000000001</v>
      </c>
      <c r="E32" s="8">
        <f>31632.44</f>
        <v>31632.44</v>
      </c>
      <c r="F32" s="27">
        <v>5815.91</v>
      </c>
      <c r="G32" s="27">
        <v>7925.52</v>
      </c>
      <c r="H32" s="8">
        <v>3394.77</v>
      </c>
      <c r="I32" s="27">
        <v>4000</v>
      </c>
      <c r="J32" s="27">
        <v>4000</v>
      </c>
      <c r="K32" s="1" t="s">
        <v>265</v>
      </c>
    </row>
    <row r="33" spans="1:15">
      <c r="A33" s="3" t="s">
        <v>31</v>
      </c>
      <c r="B33" s="8">
        <f>750</f>
        <v>750</v>
      </c>
      <c r="C33" s="8">
        <f>1050</f>
        <v>1050</v>
      </c>
      <c r="D33" s="8">
        <f>450</f>
        <v>450</v>
      </c>
      <c r="E33" s="8">
        <f>150</f>
        <v>150</v>
      </c>
      <c r="F33" s="27">
        <v>1050</v>
      </c>
      <c r="G33" s="27">
        <v>450</v>
      </c>
      <c r="H33" s="8">
        <v>450</v>
      </c>
      <c r="I33" s="27">
        <v>500</v>
      </c>
      <c r="J33" s="27">
        <v>500</v>
      </c>
    </row>
    <row r="34" spans="1:15">
      <c r="A34" s="3" t="s">
        <v>32</v>
      </c>
      <c r="B34" s="8">
        <f>1800</f>
        <v>1800</v>
      </c>
      <c r="C34" s="8">
        <f>2000</f>
        <v>2000</v>
      </c>
      <c r="D34" s="8">
        <f>1800</f>
        <v>1800</v>
      </c>
      <c r="E34" s="8">
        <f>1800</f>
        <v>1800</v>
      </c>
      <c r="F34" s="27">
        <v>600</v>
      </c>
      <c r="G34" s="27">
        <v>1000</v>
      </c>
      <c r="H34" s="8">
        <v>600</v>
      </c>
      <c r="I34" s="27">
        <v>400</v>
      </c>
      <c r="J34" s="27">
        <v>600</v>
      </c>
      <c r="K34" s="1" t="s">
        <v>213</v>
      </c>
    </row>
    <row r="35" spans="1:15">
      <c r="A35" s="3" t="s">
        <v>33</v>
      </c>
      <c r="B35" s="8">
        <f>0</f>
        <v>0</v>
      </c>
      <c r="C35" s="7"/>
      <c r="D35" s="7"/>
      <c r="E35" s="8">
        <f>5</f>
        <v>5</v>
      </c>
      <c r="F35" s="33">
        <v>0</v>
      </c>
      <c r="G35" s="33">
        <v>0</v>
      </c>
      <c r="H35" s="7">
        <v>156</v>
      </c>
      <c r="I35" s="27">
        <v>0</v>
      </c>
      <c r="J35" s="27">
        <v>0</v>
      </c>
    </row>
    <row r="36" spans="1:15">
      <c r="A36" s="3" t="s">
        <v>34</v>
      </c>
      <c r="B36" s="9">
        <f t="shared" ref="B36:G36" si="4">((((((B29)+(B30))+(B31))+(B32))+(B33))+(B34))+(B35)</f>
        <v>22014.75</v>
      </c>
      <c r="C36" s="9">
        <f t="shared" si="4"/>
        <v>37715.120000000003</v>
      </c>
      <c r="D36" s="9">
        <f t="shared" si="4"/>
        <v>37164</v>
      </c>
      <c r="E36" s="9">
        <f t="shared" si="4"/>
        <v>36045.94</v>
      </c>
      <c r="F36" s="34">
        <f t="shared" si="4"/>
        <v>9904.41</v>
      </c>
      <c r="G36" s="34">
        <f t="shared" si="4"/>
        <v>12131.02</v>
      </c>
      <c r="H36" s="9">
        <f t="shared" ref="H36" si="5">((((((H29)+(H30))+(H31))+(H32))+(H33))+(H34))+(H35)</f>
        <v>7406.02</v>
      </c>
      <c r="I36" s="34">
        <f>+SUM(I30:I35)</f>
        <v>7300</v>
      </c>
      <c r="J36" s="34">
        <f>+SUM(J30:J35)</f>
        <v>7700</v>
      </c>
    </row>
    <row r="37" spans="1:15">
      <c r="A37" s="3" t="s">
        <v>35</v>
      </c>
      <c r="B37" s="7"/>
      <c r="C37" s="7"/>
      <c r="D37" s="7"/>
      <c r="E37" s="7"/>
      <c r="F37" s="33"/>
      <c r="G37" s="33"/>
      <c r="H37" s="7"/>
      <c r="I37" s="27"/>
      <c r="J37" s="27"/>
    </row>
    <row r="38" spans="1:15">
      <c r="A38" s="3" t="s">
        <v>36</v>
      </c>
      <c r="B38" s="8">
        <f>955.37</f>
        <v>955.37</v>
      </c>
      <c r="C38" s="8">
        <f>596.56</f>
        <v>596.55999999999995</v>
      </c>
      <c r="D38" s="8">
        <f>4785.79</f>
        <v>4785.79</v>
      </c>
      <c r="E38" s="8">
        <f>44137.12</f>
        <v>44137.120000000003</v>
      </c>
      <c r="F38" s="27">
        <v>102884.77</v>
      </c>
      <c r="G38" s="27">
        <v>73849.83</v>
      </c>
      <c r="H38" s="8">
        <v>55389.55</v>
      </c>
      <c r="I38" s="27">
        <v>45000</v>
      </c>
      <c r="J38" s="54">
        <f>1200000*0.0375</f>
        <v>45000</v>
      </c>
      <c r="K38" s="124" t="s">
        <v>302</v>
      </c>
      <c r="O38" s="11" t="s">
        <v>213</v>
      </c>
    </row>
    <row r="39" spans="1:15">
      <c r="A39" s="3" t="s">
        <v>37</v>
      </c>
      <c r="B39" s="7">
        <v>0</v>
      </c>
      <c r="C39" s="7">
        <v>0</v>
      </c>
      <c r="D39" s="8">
        <f>84898</f>
        <v>84898</v>
      </c>
      <c r="E39" s="7">
        <v>0</v>
      </c>
      <c r="F39" s="33">
        <v>0</v>
      </c>
      <c r="G39" s="33">
        <v>0</v>
      </c>
      <c r="H39" s="7">
        <v>61160</v>
      </c>
      <c r="I39" s="27">
        <v>0</v>
      </c>
      <c r="J39" s="27">
        <v>0</v>
      </c>
      <c r="K39" s="1" t="s">
        <v>213</v>
      </c>
      <c r="M39" s="21" t="s">
        <v>213</v>
      </c>
    </row>
    <row r="40" spans="1:15" hidden="1">
      <c r="A40" s="3" t="s">
        <v>38</v>
      </c>
      <c r="B40" s="8"/>
      <c r="C40" s="8"/>
      <c r="D40" s="8"/>
      <c r="E40" s="8"/>
      <c r="F40" s="33"/>
      <c r="G40" s="33"/>
      <c r="H40" s="7"/>
      <c r="I40" s="27"/>
      <c r="J40" s="27"/>
    </row>
    <row r="41" spans="1:15">
      <c r="A41" s="3" t="s">
        <v>39</v>
      </c>
      <c r="B41" s="8">
        <f>151.37</f>
        <v>151.37</v>
      </c>
      <c r="C41" s="8">
        <f>10322.42</f>
        <v>10322.42</v>
      </c>
      <c r="D41" s="8">
        <f>6000</f>
        <v>6000</v>
      </c>
      <c r="E41" s="8">
        <f>2858.75</f>
        <v>2858.75</v>
      </c>
      <c r="F41" s="27">
        <f>110260</f>
        <v>110260</v>
      </c>
      <c r="G41" s="27">
        <v>24</v>
      </c>
      <c r="H41" s="8">
        <v>-14</v>
      </c>
      <c r="I41" s="27">
        <v>0</v>
      </c>
      <c r="J41" s="27">
        <v>0</v>
      </c>
      <c r="M41" s="11" t="s">
        <v>213</v>
      </c>
    </row>
    <row r="42" spans="1:15">
      <c r="A42" s="3" t="s">
        <v>40</v>
      </c>
      <c r="B42" s="8">
        <f>475</f>
        <v>475</v>
      </c>
      <c r="C42" s="8">
        <f>1250</f>
        <v>1250</v>
      </c>
      <c r="D42" s="8">
        <f>500</f>
        <v>500</v>
      </c>
      <c r="E42" s="8">
        <f>825</f>
        <v>825</v>
      </c>
      <c r="F42" s="27">
        <v>850</v>
      </c>
      <c r="G42" s="27">
        <v>775</v>
      </c>
      <c r="H42" s="8">
        <v>950</v>
      </c>
      <c r="I42" s="27">
        <v>500</v>
      </c>
      <c r="J42" s="27">
        <v>900</v>
      </c>
      <c r="K42" s="1" t="s">
        <v>213</v>
      </c>
    </row>
    <row r="43" spans="1:15">
      <c r="A43" s="3" t="s">
        <v>41</v>
      </c>
      <c r="B43" s="9">
        <f t="shared" ref="B43:G43" si="6">(((((B37)+(B38))+(B39))+(B40))+(B41))+(B42)</f>
        <v>1581.74</v>
      </c>
      <c r="C43" s="9">
        <f t="shared" si="6"/>
        <v>12168.98</v>
      </c>
      <c r="D43" s="9">
        <f t="shared" si="6"/>
        <v>96183.79</v>
      </c>
      <c r="E43" s="9">
        <f t="shared" si="6"/>
        <v>47820.87</v>
      </c>
      <c r="F43" s="34">
        <f t="shared" si="6"/>
        <v>213994.77000000002</v>
      </c>
      <c r="G43" s="34">
        <f t="shared" si="6"/>
        <v>74648.83</v>
      </c>
      <c r="H43" s="9">
        <f t="shared" ref="H43" si="7">(((((H37)+(H38))+(H39))+(H40))+(H41))+(H42)</f>
        <v>117485.55</v>
      </c>
      <c r="I43" s="34">
        <f>+SUM(I38:I42)</f>
        <v>45500</v>
      </c>
      <c r="J43" s="34">
        <f>+SUM(J38:J42)</f>
        <v>45900</v>
      </c>
    </row>
    <row r="44" spans="1:15">
      <c r="A44" s="3" t="s">
        <v>42</v>
      </c>
      <c r="B44" s="7"/>
      <c r="C44" s="8">
        <f>78239.74</f>
        <v>78239.740000000005</v>
      </c>
      <c r="D44" s="7"/>
      <c r="E44" s="7"/>
      <c r="F44" s="33"/>
      <c r="G44" s="33"/>
      <c r="H44" s="7"/>
      <c r="I44" s="27">
        <v>0</v>
      </c>
      <c r="J44" s="27">
        <v>0</v>
      </c>
    </row>
    <row r="45" spans="1:15">
      <c r="A45" s="3" t="s">
        <v>43</v>
      </c>
      <c r="B45" s="7"/>
      <c r="C45" s="7"/>
      <c r="D45" s="7"/>
      <c r="E45" s="7"/>
      <c r="F45" s="33"/>
      <c r="G45" s="33"/>
      <c r="H45" s="7"/>
      <c r="I45" s="27"/>
      <c r="J45" s="27"/>
    </row>
    <row r="46" spans="1:15">
      <c r="A46" s="3" t="s">
        <v>44</v>
      </c>
      <c r="B46" s="8">
        <f>11500</f>
        <v>11500</v>
      </c>
      <c r="C46" s="8">
        <f>11500</f>
        <v>11500</v>
      </c>
      <c r="D46" s="8">
        <f>21500</f>
        <v>21500</v>
      </c>
      <c r="E46" s="8">
        <f>1500</f>
        <v>1500</v>
      </c>
      <c r="F46" s="27">
        <v>21500</v>
      </c>
      <c r="G46" s="27">
        <v>11500</v>
      </c>
      <c r="H46" s="8">
        <v>10000</v>
      </c>
      <c r="I46" s="27">
        <v>1500</v>
      </c>
      <c r="J46" s="27">
        <v>1500</v>
      </c>
      <c r="K46" s="122" t="s">
        <v>274</v>
      </c>
    </row>
    <row r="47" spans="1:15">
      <c r="A47" s="3" t="s">
        <v>45</v>
      </c>
      <c r="B47" s="9">
        <f t="shared" ref="B47:G47" si="8">(B45)+(B46)</f>
        <v>11500</v>
      </c>
      <c r="C47" s="9">
        <f t="shared" si="8"/>
        <v>11500</v>
      </c>
      <c r="D47" s="9">
        <f t="shared" si="8"/>
        <v>21500</v>
      </c>
      <c r="E47" s="9">
        <f t="shared" si="8"/>
        <v>1500</v>
      </c>
      <c r="F47" s="34">
        <f t="shared" si="8"/>
        <v>21500</v>
      </c>
      <c r="G47" s="34">
        <f t="shared" si="8"/>
        <v>11500</v>
      </c>
      <c r="H47" s="9">
        <f t="shared" ref="H47" si="9">(H45)+(H46)</f>
        <v>10000</v>
      </c>
      <c r="I47" s="34">
        <f>+I46</f>
        <v>1500</v>
      </c>
      <c r="J47" s="34">
        <f>+J46</f>
        <v>1500</v>
      </c>
    </row>
    <row r="48" spans="1:15">
      <c r="A48" s="3" t="s">
        <v>46</v>
      </c>
      <c r="B48" s="8">
        <f>26482.69</f>
        <v>26482.69</v>
      </c>
      <c r="C48" s="7"/>
      <c r="D48" s="7"/>
      <c r="E48" s="7"/>
      <c r="F48" s="33"/>
      <c r="G48" s="33"/>
      <c r="H48" s="7"/>
      <c r="I48" s="27">
        <v>0</v>
      </c>
      <c r="J48" s="27">
        <v>0</v>
      </c>
    </row>
    <row r="49" spans="1:14">
      <c r="A49" s="59" t="s">
        <v>278</v>
      </c>
      <c r="B49" s="8"/>
      <c r="C49" s="7"/>
      <c r="D49" s="7"/>
      <c r="E49" s="7"/>
      <c r="F49" s="33"/>
      <c r="G49" s="33"/>
      <c r="H49" s="7"/>
      <c r="I49" s="27">
        <v>135000</v>
      </c>
      <c r="J49" s="27">
        <v>0</v>
      </c>
    </row>
    <row r="50" spans="1:14">
      <c r="A50" s="59" t="s">
        <v>363</v>
      </c>
      <c r="B50" s="8"/>
      <c r="C50" s="7"/>
      <c r="D50" s="7"/>
      <c r="E50" s="7"/>
      <c r="F50" s="33"/>
      <c r="G50" s="33"/>
      <c r="H50" s="7"/>
      <c r="I50" s="27"/>
      <c r="J50" s="27">
        <v>105440.97</v>
      </c>
    </row>
    <row r="51" spans="1:14">
      <c r="A51" s="59" t="s">
        <v>279</v>
      </c>
      <c r="B51" s="8"/>
      <c r="C51" s="7"/>
      <c r="D51" s="7"/>
      <c r="E51" s="7"/>
      <c r="F51" s="33"/>
      <c r="G51" s="33"/>
      <c r="H51" s="7">
        <v>68094.600000000006</v>
      </c>
      <c r="I51" s="27">
        <v>125975</v>
      </c>
      <c r="J51" s="27">
        <v>0</v>
      </c>
    </row>
    <row r="52" spans="1:14">
      <c r="A52" s="59" t="s">
        <v>293</v>
      </c>
      <c r="B52" s="8"/>
      <c r="C52" s="7"/>
      <c r="D52" s="7"/>
      <c r="E52" s="7"/>
      <c r="F52" s="33"/>
      <c r="G52" s="33"/>
      <c r="H52" s="7">
        <f>136202.6-68094.6</f>
        <v>68108</v>
      </c>
      <c r="I52" s="27">
        <v>68108</v>
      </c>
      <c r="J52" s="27">
        <v>0</v>
      </c>
    </row>
    <row r="53" spans="1:14">
      <c r="A53" s="3" t="s">
        <v>277</v>
      </c>
      <c r="B53" s="7"/>
      <c r="C53" s="7"/>
      <c r="D53" s="7"/>
      <c r="E53" s="7"/>
      <c r="F53" s="27">
        <v>32335.56</v>
      </c>
      <c r="G53" s="27">
        <v>48677.04</v>
      </c>
      <c r="H53" s="8">
        <v>0</v>
      </c>
      <c r="I53" s="27">
        <v>0</v>
      </c>
      <c r="J53" s="27">
        <v>0</v>
      </c>
      <c r="K53" s="1" t="s">
        <v>213</v>
      </c>
    </row>
    <row r="54" spans="1:14">
      <c r="A54" s="3" t="s">
        <v>276</v>
      </c>
      <c r="B54" s="7"/>
      <c r="C54" s="7"/>
      <c r="D54" s="7"/>
      <c r="E54" s="7"/>
      <c r="F54" s="27"/>
      <c r="G54" s="27"/>
      <c r="H54" s="8"/>
      <c r="I54" s="27">
        <v>0</v>
      </c>
      <c r="J54" s="27">
        <v>0</v>
      </c>
      <c r="M54" s="11" t="s">
        <v>213</v>
      </c>
      <c r="N54" s="38"/>
    </row>
    <row r="55" spans="1:14">
      <c r="A55" s="3" t="s">
        <v>208</v>
      </c>
      <c r="B55" s="7"/>
      <c r="C55" s="7"/>
      <c r="D55" s="7"/>
      <c r="E55" s="7"/>
      <c r="F55" s="27">
        <v>105000</v>
      </c>
      <c r="G55" s="27">
        <v>0</v>
      </c>
      <c r="H55" s="8">
        <v>0</v>
      </c>
      <c r="I55" s="27">
        <v>0</v>
      </c>
      <c r="J55" s="27">
        <v>0</v>
      </c>
    </row>
    <row r="56" spans="1:14">
      <c r="A56" s="3" t="s">
        <v>47</v>
      </c>
      <c r="B56" s="8">
        <f>24476.45</f>
        <v>24476.45</v>
      </c>
      <c r="C56" s="8">
        <f>24249.8</f>
        <v>24249.8</v>
      </c>
      <c r="D56" s="8">
        <f>24060.93</f>
        <v>24060.93</v>
      </c>
      <c r="E56" s="8">
        <f>24775.11</f>
        <v>24775.11</v>
      </c>
      <c r="F56" s="7">
        <v>93241.25</v>
      </c>
      <c r="G56" s="33">
        <v>94148.02</v>
      </c>
      <c r="H56" s="7">
        <v>0</v>
      </c>
      <c r="I56" s="27">
        <v>95898.16</v>
      </c>
      <c r="J56" s="8">
        <v>97036.29</v>
      </c>
      <c r="K56" s="1" t="s">
        <v>303</v>
      </c>
    </row>
    <row r="57" spans="1:14">
      <c r="A57" s="3" t="s">
        <v>48</v>
      </c>
      <c r="B57" s="8">
        <f>118601.64</f>
        <v>118601.64</v>
      </c>
      <c r="C57" s="8">
        <f>118601.64</f>
        <v>118601.64</v>
      </c>
      <c r="D57" s="8">
        <f>120993.53</f>
        <v>120993.53</v>
      </c>
      <c r="E57" s="8">
        <f>124415.81</f>
        <v>124415.81</v>
      </c>
      <c r="F57" s="27">
        <v>123385.42</v>
      </c>
      <c r="G57" s="27">
        <v>123385.42</v>
      </c>
      <c r="H57" s="8">
        <v>99181.77</v>
      </c>
      <c r="I57" s="27">
        <v>123230.9</v>
      </c>
      <c r="J57" s="8">
        <v>135960.9</v>
      </c>
      <c r="K57" s="1" t="s">
        <v>304</v>
      </c>
    </row>
    <row r="58" spans="1:14">
      <c r="A58" s="3" t="s">
        <v>49</v>
      </c>
      <c r="B58" s="8">
        <f>1995</f>
        <v>1995</v>
      </c>
      <c r="C58" s="8">
        <f>7535</f>
        <v>7535</v>
      </c>
      <c r="D58" s="8">
        <f>14446</f>
        <v>14446</v>
      </c>
      <c r="E58" s="8">
        <f>14935</f>
        <v>14935</v>
      </c>
      <c r="F58" s="27">
        <v>15135</v>
      </c>
      <c r="G58" s="27">
        <v>14360</v>
      </c>
      <c r="H58" s="8">
        <v>11400</v>
      </c>
      <c r="I58" s="27">
        <v>14000</v>
      </c>
      <c r="J58" s="27">
        <v>15000</v>
      </c>
      <c r="K58" s="1" t="s">
        <v>213</v>
      </c>
    </row>
    <row r="59" spans="1:14">
      <c r="A59" s="3" t="s">
        <v>50</v>
      </c>
      <c r="B59" s="39">
        <f>((((((((((B13)+(B28))+(B36))+(B43))+(B44))+(B47))+(B48))+(B53))+(B56))+(B57))+(B58)</f>
        <v>953853.5199999999</v>
      </c>
      <c r="C59" s="39">
        <f>((((((((((C13)+(C28))+(C36))+(C43))+(C44))+(C47))+(C48))+(C53))+(C56))+(C57))+(C58)</f>
        <v>1248941.7599999998</v>
      </c>
      <c r="D59" s="39">
        <f>((((((((((D13)+(D28))+(D36))+(D43))+(D44))+(D47))+(D48))+(D53))+(D56))+(D57))+(D58)</f>
        <v>3034418.4</v>
      </c>
      <c r="E59" s="39">
        <f>((((((((((E13)+(E28))+(E36))+(E43))+(E44))+(E47))+(E48))+(E53))+(E56))+(E57))+(E58)</f>
        <v>1125558.07</v>
      </c>
      <c r="F59" s="40">
        <f>((((((((((F13)+(F28))+(F36))+(F43))+(F44))+(F47))+(F48))+(F53))+(F56))+(F57))+(F58)+F55</f>
        <v>1512915.12</v>
      </c>
      <c r="G59" s="40">
        <f>((((((((((G13)+(G28))+(G36))+(G43))+(G44))+(G47))+(G48))+(G53))+(G56))+(G57))+(G58)</f>
        <v>1304838.7199999997</v>
      </c>
      <c r="H59" s="39">
        <f>((((((((((H13)+(H28))+(H36))+(H43))+(H44))+(H47))+(H48))+(H53))+(H56))+(H57))+(H58)+H51+H52</f>
        <v>1351307.95</v>
      </c>
      <c r="I59" s="40">
        <f>((((((((((I13)+(I28))+(I36))+(I43))+(I44))+(I47))+(I48))+(I53))+(I56))+(I57))+(I58)+I55+I51+I49+I52</f>
        <v>1576741.13</v>
      </c>
      <c r="J59" s="40">
        <f>((((((((((J13)+(J28))+(J36))+(J43))+(J44))+(J47))+SUM(J48:J58)))))</f>
        <v>1314944.1299999999</v>
      </c>
      <c r="M59" s="11" t="s">
        <v>213</v>
      </c>
    </row>
    <row r="60" spans="1:14">
      <c r="A60" s="3" t="s">
        <v>51</v>
      </c>
      <c r="B60" s="39">
        <f t="shared" ref="B60:G60" si="10">(B59)-(0)</f>
        <v>953853.5199999999</v>
      </c>
      <c r="C60" s="39">
        <f t="shared" si="10"/>
        <v>1248941.7599999998</v>
      </c>
      <c r="D60" s="39">
        <f t="shared" si="10"/>
        <v>3034418.4</v>
      </c>
      <c r="E60" s="39">
        <f t="shared" si="10"/>
        <v>1125558.07</v>
      </c>
      <c r="F60" s="40">
        <f t="shared" si="10"/>
        <v>1512915.12</v>
      </c>
      <c r="G60" s="40">
        <f t="shared" si="10"/>
        <v>1304838.7199999997</v>
      </c>
      <c r="H60" s="39">
        <f t="shared" ref="H60" si="11">(H59)-(0)</f>
        <v>1351307.95</v>
      </c>
      <c r="I60" s="40">
        <f>+I59</f>
        <v>1576741.13</v>
      </c>
      <c r="J60" s="40">
        <f>+J59</f>
        <v>1314944.1299999999</v>
      </c>
    </row>
    <row r="61" spans="1:14">
      <c r="A61" s="3" t="s">
        <v>52</v>
      </c>
      <c r="B61" s="7"/>
      <c r="C61" s="7"/>
      <c r="D61" s="7"/>
      <c r="E61" s="7"/>
      <c r="F61" s="33"/>
      <c r="G61" s="33"/>
      <c r="H61" s="7"/>
      <c r="I61" s="33"/>
      <c r="J61" s="33"/>
      <c r="K61" s="125" t="s">
        <v>213</v>
      </c>
      <c r="L61" s="38" t="s">
        <v>213</v>
      </c>
    </row>
    <row r="62" spans="1:14">
      <c r="A62" s="3" t="s">
        <v>53</v>
      </c>
      <c r="B62" s="7"/>
      <c r="C62" s="7"/>
      <c r="D62" s="7"/>
      <c r="E62" s="7"/>
      <c r="F62" s="33"/>
      <c r="G62" s="33"/>
      <c r="H62" s="7"/>
      <c r="I62" s="27"/>
      <c r="J62" s="27"/>
    </row>
    <row r="63" spans="1:14">
      <c r="A63" s="3" t="s">
        <v>54</v>
      </c>
      <c r="B63" s="7"/>
      <c r="C63" s="7"/>
      <c r="D63" s="7"/>
      <c r="E63" s="7"/>
      <c r="F63" s="33"/>
      <c r="G63" s="33"/>
      <c r="H63" s="7"/>
      <c r="I63" s="27"/>
      <c r="J63" s="27"/>
    </row>
    <row r="64" spans="1:14">
      <c r="A64" s="3" t="s">
        <v>55</v>
      </c>
      <c r="B64" s="8">
        <f>10084.03</f>
        <v>10084.030000000001</v>
      </c>
      <c r="C64" s="8">
        <f>9930.89</f>
        <v>9930.89</v>
      </c>
      <c r="D64" s="8">
        <f>9930.85</f>
        <v>9930.85</v>
      </c>
      <c r="E64" s="8">
        <f>9930.88</f>
        <v>9930.8799999999992</v>
      </c>
      <c r="F64" s="27">
        <v>9930.8799999999992</v>
      </c>
      <c r="G64" s="27">
        <v>9800.27</v>
      </c>
      <c r="H64" s="8">
        <v>7448.16</v>
      </c>
      <c r="I64" s="27">
        <v>10000</v>
      </c>
      <c r="J64" s="27">
        <v>10000</v>
      </c>
      <c r="L64" s="11" t="s">
        <v>213</v>
      </c>
    </row>
    <row r="65" spans="1:14">
      <c r="A65" s="3" t="s">
        <v>56</v>
      </c>
      <c r="B65" s="7"/>
      <c r="C65" s="7"/>
      <c r="D65" s="7"/>
      <c r="E65" s="7"/>
      <c r="F65" s="33"/>
      <c r="G65" s="33"/>
      <c r="H65" s="7"/>
      <c r="I65" s="27"/>
      <c r="J65" s="27"/>
    </row>
    <row r="66" spans="1:14">
      <c r="A66" s="3" t="s">
        <v>209</v>
      </c>
      <c r="B66" s="7"/>
      <c r="C66" s="7"/>
      <c r="D66" s="7"/>
      <c r="E66" s="7"/>
      <c r="F66" s="33"/>
      <c r="G66" s="33"/>
      <c r="H66" s="7"/>
      <c r="I66" s="27">
        <v>500</v>
      </c>
      <c r="J66" s="27">
        <v>500</v>
      </c>
    </row>
    <row r="67" spans="1:14">
      <c r="A67" s="3" t="s">
        <v>57</v>
      </c>
      <c r="B67" s="8">
        <f>2559.98</f>
        <v>2559.98</v>
      </c>
      <c r="C67" s="8">
        <f>2673.43</f>
        <v>2673.43</v>
      </c>
      <c r="D67" s="8">
        <f>2449.62</f>
        <v>2449.62</v>
      </c>
      <c r="E67" s="8">
        <f>2270.82</f>
        <v>2270.8200000000002</v>
      </c>
      <c r="F67" s="7">
        <v>1989.64</v>
      </c>
      <c r="G67" s="33">
        <v>4730.59</v>
      </c>
      <c r="H67" s="7">
        <v>2612.13</v>
      </c>
      <c r="I67" s="27">
        <v>4000</v>
      </c>
      <c r="J67" s="27">
        <v>4000</v>
      </c>
      <c r="K67" s="1" t="s">
        <v>215</v>
      </c>
    </row>
    <row r="68" spans="1:14">
      <c r="A68" s="3" t="s">
        <v>58</v>
      </c>
      <c r="B68" s="7"/>
      <c r="C68" s="7"/>
      <c r="D68" s="7"/>
      <c r="E68" s="7"/>
      <c r="F68" s="27">
        <f>57.32</f>
        <v>57.32</v>
      </c>
      <c r="G68" s="27">
        <v>0</v>
      </c>
      <c r="H68" s="8">
        <v>0</v>
      </c>
      <c r="I68" s="27">
        <v>0</v>
      </c>
      <c r="J68" s="27">
        <v>0</v>
      </c>
    </row>
    <row r="69" spans="1:14">
      <c r="A69" s="3" t="s">
        <v>59</v>
      </c>
      <c r="B69" s="9">
        <f t="shared" ref="B69:G69" si="12">((B65)+(B67))+(B68)</f>
        <v>2559.98</v>
      </c>
      <c r="C69" s="9">
        <f t="shared" si="12"/>
        <v>2673.43</v>
      </c>
      <c r="D69" s="9">
        <f t="shared" si="12"/>
        <v>2449.62</v>
      </c>
      <c r="E69" s="9">
        <f t="shared" si="12"/>
        <v>2270.8200000000002</v>
      </c>
      <c r="F69" s="34">
        <f t="shared" si="12"/>
        <v>2046.96</v>
      </c>
      <c r="G69" s="34">
        <f t="shared" si="12"/>
        <v>4730.59</v>
      </c>
      <c r="H69" s="9">
        <f t="shared" ref="H69" si="13">((H65)+(H67))+(H68)</f>
        <v>2612.13</v>
      </c>
      <c r="I69" s="34">
        <f>SUM(I66:I68)</f>
        <v>4500</v>
      </c>
      <c r="J69" s="34">
        <f>SUM(J66:J68)</f>
        <v>4500</v>
      </c>
    </row>
    <row r="70" spans="1:14">
      <c r="A70" s="3" t="s">
        <v>60</v>
      </c>
      <c r="B70" s="9">
        <f t="shared" ref="B70:G70" si="14">((B63)+(B64))+(B69)</f>
        <v>12644.01</v>
      </c>
      <c r="C70" s="9">
        <f t="shared" si="14"/>
        <v>12604.32</v>
      </c>
      <c r="D70" s="9">
        <f t="shared" si="14"/>
        <v>12380.470000000001</v>
      </c>
      <c r="E70" s="9">
        <f t="shared" si="14"/>
        <v>12201.699999999999</v>
      </c>
      <c r="F70" s="34">
        <f t="shared" si="14"/>
        <v>11977.84</v>
      </c>
      <c r="G70" s="34">
        <f t="shared" si="14"/>
        <v>14530.86</v>
      </c>
      <c r="H70" s="9">
        <f t="shared" ref="H70" si="15">((H63)+(H64))+(H69)</f>
        <v>10060.290000000001</v>
      </c>
      <c r="I70" s="34">
        <f>+I64+I69</f>
        <v>14500</v>
      </c>
      <c r="J70" s="34">
        <f>+J64+J69</f>
        <v>14500</v>
      </c>
    </row>
    <row r="71" spans="1:14">
      <c r="A71" s="3" t="s">
        <v>61</v>
      </c>
      <c r="B71" s="8">
        <f>3870</f>
        <v>3870</v>
      </c>
      <c r="C71" s="7"/>
      <c r="D71" s="7"/>
      <c r="E71" s="7"/>
      <c r="F71" s="33"/>
      <c r="G71" s="33">
        <v>11622.5</v>
      </c>
      <c r="H71" s="7">
        <v>8185.89</v>
      </c>
      <c r="I71" s="27">
        <v>5000</v>
      </c>
      <c r="J71" s="8">
        <v>10000</v>
      </c>
      <c r="K71" s="1" t="s">
        <v>213</v>
      </c>
    </row>
    <row r="72" spans="1:14">
      <c r="A72" s="3" t="s">
        <v>62</v>
      </c>
      <c r="B72" s="7"/>
      <c r="C72" s="7"/>
      <c r="D72" s="7"/>
      <c r="E72" s="7"/>
      <c r="F72" s="33"/>
      <c r="G72" s="33"/>
      <c r="H72" s="7"/>
      <c r="I72" s="27"/>
      <c r="J72" s="27"/>
    </row>
    <row r="73" spans="1:14" ht="15">
      <c r="A73" s="3" t="s">
        <v>63</v>
      </c>
      <c r="B73" s="8">
        <f>18206.18</f>
        <v>18206.18</v>
      </c>
      <c r="C73" s="8">
        <f>24151.34</f>
        <v>24151.34</v>
      </c>
      <c r="D73" s="8">
        <f>26912.52</f>
        <v>26912.52</v>
      </c>
      <c r="E73" s="8">
        <f>27009.43</f>
        <v>27009.43</v>
      </c>
      <c r="F73" s="27">
        <v>26912.57</v>
      </c>
      <c r="G73" s="27">
        <v>27102.240000000002</v>
      </c>
      <c r="H73" s="8">
        <v>20184.39</v>
      </c>
      <c r="I73" s="27">
        <v>26912.5</v>
      </c>
      <c r="J73" s="35">
        <f>25000*1.0765</f>
        <v>26912.5</v>
      </c>
      <c r="K73" s="126" t="s">
        <v>305</v>
      </c>
      <c r="M73" s="11" t="s">
        <v>213</v>
      </c>
    </row>
    <row r="74" spans="1:14">
      <c r="A74" s="3" t="s">
        <v>64</v>
      </c>
      <c r="B74" s="7"/>
      <c r="C74" s="7"/>
      <c r="D74" s="8">
        <f>704.25</f>
        <v>704.25</v>
      </c>
      <c r="E74" s="8">
        <f>8576.94</f>
        <v>8576.94</v>
      </c>
      <c r="F74" s="27">
        <v>10067.44</v>
      </c>
      <c r="G74" s="27">
        <v>2806.05</v>
      </c>
      <c r="H74" s="8">
        <v>144.79</v>
      </c>
      <c r="I74" s="27">
        <v>0</v>
      </c>
      <c r="J74" s="27">
        <v>0</v>
      </c>
      <c r="K74" s="127" t="s">
        <v>286</v>
      </c>
    </row>
    <row r="75" spans="1:14">
      <c r="A75" s="3" t="s">
        <v>65</v>
      </c>
      <c r="B75" s="8">
        <f>1141.25</f>
        <v>1141.25</v>
      </c>
      <c r="C75" s="8">
        <f>1507.54</f>
        <v>1507.54</v>
      </c>
      <c r="D75" s="8">
        <f>1624.92</f>
        <v>1624.92</v>
      </c>
      <c r="E75" s="8">
        <f>1706.05</f>
        <v>1706.05</v>
      </c>
      <c r="F75" s="27">
        <v>1725</v>
      </c>
      <c r="G75" s="27">
        <v>1300.94</v>
      </c>
      <c r="H75" s="8">
        <v>1350</v>
      </c>
      <c r="I75" s="27">
        <v>1800</v>
      </c>
      <c r="J75" s="35">
        <f>+(J73/1.0765)*0.0725</f>
        <v>1812.4999999999998</v>
      </c>
      <c r="K75" s="126" t="s">
        <v>364</v>
      </c>
      <c r="N75" s="11" t="s">
        <v>213</v>
      </c>
    </row>
    <row r="76" spans="1:14">
      <c r="A76" s="3" t="s">
        <v>66</v>
      </c>
      <c r="B76" s="8">
        <f>1288.24</f>
        <v>1288.24</v>
      </c>
      <c r="C76" s="8">
        <f>4344.67</f>
        <v>4344.67</v>
      </c>
      <c r="D76" s="8">
        <f>6776.31</f>
        <v>6776.31</v>
      </c>
      <c r="E76" s="8">
        <f>5144.27</f>
        <v>5144.2700000000004</v>
      </c>
      <c r="F76" s="27">
        <v>10130.69</v>
      </c>
      <c r="G76" s="27">
        <v>6747.12</v>
      </c>
      <c r="H76" s="8">
        <v>5094.7299999999996</v>
      </c>
      <c r="I76" s="27">
        <v>10000</v>
      </c>
      <c r="J76" s="27">
        <v>8000</v>
      </c>
      <c r="K76" s="114" t="s">
        <v>213</v>
      </c>
      <c r="L76" s="114"/>
      <c r="M76" s="114"/>
      <c r="N76" s="11" t="s">
        <v>213</v>
      </c>
    </row>
    <row r="77" spans="1:14">
      <c r="A77" s="3" t="s">
        <v>67</v>
      </c>
      <c r="B77" s="9">
        <f t="shared" ref="B77:G77" si="16">(((B73)+(B74))+(B75))+(B76)</f>
        <v>20635.670000000002</v>
      </c>
      <c r="C77" s="9">
        <f t="shared" si="16"/>
        <v>30003.550000000003</v>
      </c>
      <c r="D77" s="9">
        <f t="shared" si="16"/>
        <v>36018</v>
      </c>
      <c r="E77" s="9">
        <f t="shared" si="16"/>
        <v>42436.69</v>
      </c>
      <c r="F77" s="34">
        <f t="shared" si="16"/>
        <v>48835.700000000004</v>
      </c>
      <c r="G77" s="34">
        <f t="shared" si="16"/>
        <v>37956.35</v>
      </c>
      <c r="H77" s="9">
        <f t="shared" ref="H77" si="17">(((H73)+(H74))+(H75))+(H76)</f>
        <v>26773.91</v>
      </c>
      <c r="I77" s="34">
        <f>+SUM(I73:I76)</f>
        <v>38712.5</v>
      </c>
      <c r="J77" s="34">
        <f>+SUM(J73:J76)</f>
        <v>36725</v>
      </c>
    </row>
    <row r="78" spans="1:14">
      <c r="A78" s="3" t="s">
        <v>68</v>
      </c>
      <c r="B78" s="7"/>
      <c r="C78" s="7"/>
      <c r="D78" s="7"/>
      <c r="E78" s="7"/>
      <c r="F78" s="33"/>
      <c r="G78" s="33"/>
      <c r="H78" s="7"/>
      <c r="I78" s="27"/>
      <c r="J78" s="27"/>
      <c r="K78" s="122" t="s">
        <v>287</v>
      </c>
    </row>
    <row r="79" spans="1:14" s="11" customFormat="1">
      <c r="A79" s="25" t="s">
        <v>69</v>
      </c>
      <c r="B79" s="33"/>
      <c r="C79" s="33"/>
      <c r="D79" s="27">
        <f>616</f>
        <v>616</v>
      </c>
      <c r="E79" s="33"/>
      <c r="F79" s="33"/>
      <c r="G79" s="33">
        <v>0</v>
      </c>
      <c r="H79" s="7">
        <v>0</v>
      </c>
      <c r="I79" s="27">
        <v>0</v>
      </c>
      <c r="J79" s="27">
        <v>0</v>
      </c>
      <c r="K79" s="122" t="s">
        <v>213</v>
      </c>
    </row>
    <row r="80" spans="1:14">
      <c r="A80" s="3" t="s">
        <v>70</v>
      </c>
      <c r="B80" s="8">
        <f>6209.17</f>
        <v>6209.17</v>
      </c>
      <c r="C80" s="8">
        <f>2538.88</f>
        <v>2538.88</v>
      </c>
      <c r="D80" s="8">
        <f>5701.41</f>
        <v>5701.41</v>
      </c>
      <c r="E80" s="8">
        <f>2590.51</f>
        <v>2590.5100000000002</v>
      </c>
      <c r="F80" s="27">
        <v>5730.59</v>
      </c>
      <c r="G80" s="27">
        <v>2877.15</v>
      </c>
      <c r="H80" s="8">
        <v>4235.1400000000003</v>
      </c>
      <c r="I80" s="27">
        <v>4000</v>
      </c>
      <c r="J80" s="27">
        <f>+I80</f>
        <v>4000</v>
      </c>
      <c r="K80" s="122"/>
    </row>
    <row r="81" spans="1:15">
      <c r="A81" s="3" t="s">
        <v>71</v>
      </c>
      <c r="B81" s="8">
        <f>844.13</f>
        <v>844.13</v>
      </c>
      <c r="C81" s="8">
        <f>481.84</f>
        <v>481.84</v>
      </c>
      <c r="D81" s="8">
        <f>826.87</f>
        <v>826.87</v>
      </c>
      <c r="E81" s="8">
        <f>797.31</f>
        <v>797.31</v>
      </c>
      <c r="F81" s="27">
        <v>1128.4100000000001</v>
      </c>
      <c r="G81" s="27">
        <v>442.68</v>
      </c>
      <c r="H81" s="8">
        <v>59.8</v>
      </c>
      <c r="I81" s="27">
        <v>700</v>
      </c>
      <c r="J81" s="27">
        <f>+I81</f>
        <v>700</v>
      </c>
      <c r="K81" s="122"/>
    </row>
    <row r="82" spans="1:15">
      <c r="A82" s="3" t="s">
        <v>72</v>
      </c>
      <c r="B82" s="8">
        <f>285.99</f>
        <v>285.99</v>
      </c>
      <c r="C82" s="8">
        <f>66.69</f>
        <v>66.69</v>
      </c>
      <c r="D82" s="8">
        <f>269.61</f>
        <v>269.61</v>
      </c>
      <c r="E82" s="8">
        <f>238.5</f>
        <v>238.5</v>
      </c>
      <c r="F82" s="27">
        <v>141.44</v>
      </c>
      <c r="G82" s="27">
        <v>89.18</v>
      </c>
      <c r="H82" s="8">
        <v>0</v>
      </c>
      <c r="I82" s="27">
        <v>200</v>
      </c>
      <c r="J82" s="27">
        <f>+I82</f>
        <v>200</v>
      </c>
      <c r="K82" s="122"/>
    </row>
    <row r="83" spans="1:15" ht="28.5">
      <c r="A83" s="3" t="s">
        <v>73</v>
      </c>
      <c r="B83" s="8">
        <f>6246.02</f>
        <v>6246.02</v>
      </c>
      <c r="C83" s="8">
        <f>1377.4</f>
        <v>1377.4</v>
      </c>
      <c r="D83" s="8">
        <f>1684.03</f>
        <v>1684.03</v>
      </c>
      <c r="E83" s="8">
        <f>2738.88</f>
        <v>2738.88</v>
      </c>
      <c r="F83" s="27">
        <v>2825.15</v>
      </c>
      <c r="G83" s="27">
        <v>1842.9</v>
      </c>
      <c r="H83" s="8">
        <v>1811</v>
      </c>
      <c r="I83" s="27">
        <v>1750</v>
      </c>
      <c r="J83" s="27">
        <f>+I83+2247+1542</f>
        <v>5539</v>
      </c>
      <c r="K83" s="122" t="s">
        <v>312</v>
      </c>
    </row>
    <row r="84" spans="1:15">
      <c r="A84" s="3" t="s">
        <v>74</v>
      </c>
      <c r="B84" s="9">
        <f t="shared" ref="B84:G84" si="18">(((((B78)+(B79))+(B80))+(B81))+(B82))+(B83)</f>
        <v>13585.310000000001</v>
      </c>
      <c r="C84" s="9">
        <f t="shared" si="18"/>
        <v>4464.8100000000004</v>
      </c>
      <c r="D84" s="9">
        <f t="shared" si="18"/>
        <v>9097.92</v>
      </c>
      <c r="E84" s="9">
        <f t="shared" si="18"/>
        <v>6365.2000000000007</v>
      </c>
      <c r="F84" s="34">
        <f t="shared" si="18"/>
        <v>9825.59</v>
      </c>
      <c r="G84" s="34">
        <f t="shared" si="18"/>
        <v>5251.91</v>
      </c>
      <c r="H84" s="9">
        <f t="shared" ref="H84" si="19">(((((H78)+(H79))+(H80))+(H81))+(H82))+(H83)</f>
        <v>6105.9400000000005</v>
      </c>
      <c r="I84" s="34">
        <f>+SUM(I79:I83)</f>
        <v>6650</v>
      </c>
      <c r="J84" s="34">
        <f>+SUM(J79:J83)</f>
        <v>10439</v>
      </c>
      <c r="K84" s="122"/>
    </row>
    <row r="85" spans="1:15">
      <c r="A85" s="3" t="s">
        <v>75</v>
      </c>
      <c r="B85" s="7"/>
      <c r="C85" s="7"/>
      <c r="D85" s="7"/>
      <c r="E85" s="7"/>
      <c r="F85" s="33"/>
      <c r="G85" s="33"/>
      <c r="H85" s="7"/>
      <c r="I85" s="27"/>
      <c r="J85" s="27"/>
    </row>
    <row r="86" spans="1:15">
      <c r="A86" s="3" t="s">
        <v>76</v>
      </c>
      <c r="B86" s="7"/>
      <c r="C86" s="8">
        <f>0</f>
        <v>0</v>
      </c>
      <c r="D86" s="8">
        <f>14</f>
        <v>14</v>
      </c>
      <c r="E86" s="8">
        <f>12</f>
        <v>12</v>
      </c>
      <c r="F86" s="27">
        <v>20</v>
      </c>
      <c r="G86" s="27">
        <v>40.04</v>
      </c>
      <c r="H86" s="8">
        <v>0</v>
      </c>
      <c r="I86" s="27">
        <v>0</v>
      </c>
      <c r="J86" s="27">
        <v>0</v>
      </c>
    </row>
    <row r="87" spans="1:15">
      <c r="A87" s="3" t="s">
        <v>77</v>
      </c>
      <c r="B87" s="8">
        <f>137.43</f>
        <v>137.43</v>
      </c>
      <c r="C87" s="8">
        <f>1812.38</f>
        <v>1812.38</v>
      </c>
      <c r="D87" s="8">
        <f>190</f>
        <v>190</v>
      </c>
      <c r="E87" s="8">
        <f>214</f>
        <v>214</v>
      </c>
      <c r="F87" s="27">
        <v>1290.3900000000001</v>
      </c>
      <c r="G87" s="27">
        <v>1024.6500000000001</v>
      </c>
      <c r="H87" s="8">
        <v>211</v>
      </c>
      <c r="I87" s="27">
        <v>2000</v>
      </c>
      <c r="J87" s="27">
        <v>1500</v>
      </c>
    </row>
    <row r="88" spans="1:15">
      <c r="A88" s="3" t="s">
        <v>78</v>
      </c>
      <c r="B88" s="8">
        <f>1272.5</f>
        <v>1272.5</v>
      </c>
      <c r="C88" s="8">
        <f>1125</f>
        <v>1125</v>
      </c>
      <c r="D88" s="8">
        <f>1193.75</f>
        <v>1193.75</v>
      </c>
      <c r="E88" s="8">
        <f>1270.5</f>
        <v>1270.5</v>
      </c>
      <c r="F88" s="27">
        <v>1248.75</v>
      </c>
      <c r="G88" s="27">
        <v>1477.75</v>
      </c>
      <c r="H88" s="8">
        <v>1697.75</v>
      </c>
      <c r="I88" s="27">
        <v>1500</v>
      </c>
      <c r="J88" s="27">
        <v>1700</v>
      </c>
    </row>
    <row r="89" spans="1:15">
      <c r="A89" s="3" t="s">
        <v>79</v>
      </c>
      <c r="B89" s="7"/>
      <c r="C89" s="7"/>
      <c r="D89" s="7"/>
      <c r="E89" s="7"/>
      <c r="F89" s="27">
        <f>3300</f>
        <v>3300</v>
      </c>
      <c r="G89" s="27">
        <v>0</v>
      </c>
      <c r="H89" s="8">
        <v>0</v>
      </c>
      <c r="I89" s="27">
        <v>0</v>
      </c>
      <c r="J89" s="27">
        <v>0</v>
      </c>
    </row>
    <row r="90" spans="1:15">
      <c r="A90" s="3" t="s">
        <v>210</v>
      </c>
      <c r="B90" s="7"/>
      <c r="C90" s="7"/>
      <c r="D90" s="7"/>
      <c r="E90" s="7"/>
      <c r="F90" s="27"/>
      <c r="G90" s="27">
        <v>0</v>
      </c>
      <c r="H90" s="8">
        <v>0</v>
      </c>
      <c r="I90" s="27">
        <v>0</v>
      </c>
      <c r="J90" s="27">
        <v>0</v>
      </c>
      <c r="K90" s="1" t="s">
        <v>213</v>
      </c>
    </row>
    <row r="91" spans="1:15">
      <c r="A91" s="3" t="s">
        <v>80</v>
      </c>
      <c r="B91" s="8">
        <f>886.5</f>
        <v>886.5</v>
      </c>
      <c r="C91" s="8">
        <f>714.41</f>
        <v>714.41</v>
      </c>
      <c r="D91" s="8">
        <f>708</f>
        <v>708</v>
      </c>
      <c r="E91" s="8">
        <f>708</f>
        <v>708</v>
      </c>
      <c r="F91" s="27">
        <v>708</v>
      </c>
      <c r="G91" s="27">
        <v>1188.99</v>
      </c>
      <c r="H91" s="8">
        <v>801</v>
      </c>
      <c r="I91" s="27">
        <v>1275</v>
      </c>
      <c r="J91" s="27">
        <v>1275</v>
      </c>
    </row>
    <row r="92" spans="1:15">
      <c r="A92" s="3" t="s">
        <v>81</v>
      </c>
      <c r="B92" s="7"/>
      <c r="C92" s="7"/>
      <c r="D92" s="7"/>
      <c r="E92" s="7"/>
      <c r="F92" s="27">
        <v>7230.53</v>
      </c>
      <c r="G92" s="27">
        <v>8613.44</v>
      </c>
      <c r="H92" s="8">
        <v>2253.4299999999998</v>
      </c>
      <c r="I92" s="27">
        <v>8000</v>
      </c>
      <c r="J92" s="8">
        <v>4000</v>
      </c>
      <c r="K92" s="132" t="s">
        <v>346</v>
      </c>
      <c r="L92" s="132"/>
      <c r="M92" s="132"/>
      <c r="N92" s="132"/>
      <c r="O92" s="132"/>
    </row>
    <row r="93" spans="1:15">
      <c r="A93" s="3" t="s">
        <v>82</v>
      </c>
      <c r="B93" s="8">
        <f>859.84</f>
        <v>859.84</v>
      </c>
      <c r="C93" s="8">
        <f>954.24</f>
        <v>954.24</v>
      </c>
      <c r="D93" s="8">
        <f>670.92</f>
        <v>670.92</v>
      </c>
      <c r="E93" s="8">
        <f>962.79</f>
        <v>962.79</v>
      </c>
      <c r="F93" s="27">
        <v>1038.42</v>
      </c>
      <c r="G93" s="27">
        <v>1327.44</v>
      </c>
      <c r="H93" s="8">
        <v>1095.8399999999999</v>
      </c>
      <c r="I93" s="27">
        <v>1000</v>
      </c>
      <c r="J93" s="27">
        <v>1500</v>
      </c>
      <c r="K93" s="1" t="s">
        <v>213</v>
      </c>
      <c r="L93" s="11" t="s">
        <v>213</v>
      </c>
      <c r="M93" s="11" t="s">
        <v>213</v>
      </c>
      <c r="N93" s="11" t="s">
        <v>213</v>
      </c>
      <c r="O93" s="11" t="s">
        <v>213</v>
      </c>
    </row>
    <row r="94" spans="1:15">
      <c r="A94" s="3" t="s">
        <v>83</v>
      </c>
      <c r="B94" s="8">
        <f>2221.92</f>
        <v>2221.92</v>
      </c>
      <c r="C94" s="8">
        <f>1693.48</f>
        <v>1693.48</v>
      </c>
      <c r="D94" s="8">
        <f>3426.38</f>
        <v>3426.38</v>
      </c>
      <c r="E94" s="8">
        <f>1420.19</f>
        <v>1420.19</v>
      </c>
      <c r="F94" s="8">
        <v>2534.06</v>
      </c>
      <c r="G94" s="8">
        <v>3092.48</v>
      </c>
      <c r="H94" s="8">
        <v>3027.64</v>
      </c>
      <c r="I94" s="8">
        <v>3000</v>
      </c>
      <c r="J94" s="8">
        <v>4050</v>
      </c>
      <c r="K94" s="119" t="s">
        <v>345</v>
      </c>
      <c r="L94" s="119"/>
      <c r="M94" s="119"/>
      <c r="N94" s="119"/>
      <c r="O94" s="119"/>
    </row>
    <row r="95" spans="1:15">
      <c r="A95" s="3" t="s">
        <v>84</v>
      </c>
      <c r="B95" s="8">
        <f>841.66</f>
        <v>841.66</v>
      </c>
      <c r="C95" s="8">
        <f>330</f>
        <v>330</v>
      </c>
      <c r="D95" s="8">
        <f>714</f>
        <v>714</v>
      </c>
      <c r="E95" s="8">
        <f>636.83</f>
        <v>636.83000000000004</v>
      </c>
      <c r="F95" s="27">
        <v>545.99</v>
      </c>
      <c r="G95" s="27">
        <v>227.03</v>
      </c>
      <c r="H95" s="8">
        <v>324.57</v>
      </c>
      <c r="I95" s="27">
        <v>800</v>
      </c>
      <c r="J95" s="27">
        <v>600</v>
      </c>
      <c r="K95" s="1" t="s">
        <v>213</v>
      </c>
    </row>
    <row r="96" spans="1:15">
      <c r="A96" s="3" t="s">
        <v>85</v>
      </c>
      <c r="B96" s="8">
        <f>293.94</f>
        <v>293.94</v>
      </c>
      <c r="C96" s="8">
        <f>640.25</f>
        <v>640.25</v>
      </c>
      <c r="D96" s="8">
        <f>630.12</f>
        <v>630.12</v>
      </c>
      <c r="E96" s="8">
        <f>1467.76</f>
        <v>1467.76</v>
      </c>
      <c r="F96" s="27">
        <v>1064.5</v>
      </c>
      <c r="G96" s="27">
        <v>1885.9</v>
      </c>
      <c r="H96" s="8">
        <v>219.05</v>
      </c>
      <c r="I96" s="27">
        <v>1500</v>
      </c>
      <c r="J96" s="8">
        <v>1500</v>
      </c>
      <c r="K96" s="32" t="s">
        <v>213</v>
      </c>
    </row>
    <row r="97" spans="1:17">
      <c r="A97" s="3" t="s">
        <v>86</v>
      </c>
      <c r="B97" s="8">
        <f>1240.02</f>
        <v>1240.02</v>
      </c>
      <c r="C97" s="8">
        <f>1265.66</f>
        <v>1265.6600000000001</v>
      </c>
      <c r="D97" s="8">
        <f>1252.37</f>
        <v>1252.3699999999999</v>
      </c>
      <c r="E97" s="8">
        <f>1259.89</f>
        <v>1259.8900000000001</v>
      </c>
      <c r="F97" s="27">
        <v>1278.53</v>
      </c>
      <c r="G97" s="27">
        <v>1185.92</v>
      </c>
      <c r="H97" s="8">
        <v>978.42</v>
      </c>
      <c r="I97" s="27">
        <v>1300</v>
      </c>
      <c r="J97" s="27">
        <v>1300</v>
      </c>
      <c r="K97" s="1" t="s">
        <v>213</v>
      </c>
    </row>
    <row r="98" spans="1:17">
      <c r="A98" s="3" t="s">
        <v>87</v>
      </c>
      <c r="B98" s="8">
        <f>3645</f>
        <v>3645</v>
      </c>
      <c r="C98" s="8">
        <f>3645</f>
        <v>3645</v>
      </c>
      <c r="D98" s="8">
        <f>3876</f>
        <v>3876</v>
      </c>
      <c r="E98" s="8">
        <f>3932</f>
        <v>3932</v>
      </c>
      <c r="F98" s="27">
        <v>3982</v>
      </c>
      <c r="G98" s="27">
        <v>4096.3</v>
      </c>
      <c r="H98" s="8">
        <v>4147.55</v>
      </c>
      <c r="I98" s="27">
        <v>4500</v>
      </c>
      <c r="J98" s="27">
        <v>4500</v>
      </c>
      <c r="K98" s="1" t="s">
        <v>307</v>
      </c>
    </row>
    <row r="99" spans="1:17">
      <c r="A99" s="3" t="s">
        <v>88</v>
      </c>
      <c r="B99" s="7"/>
      <c r="C99" s="8">
        <f>42.34</f>
        <v>42.34</v>
      </c>
      <c r="D99" s="8">
        <f>1637.5</f>
        <v>1637.5</v>
      </c>
      <c r="E99" s="8">
        <f>1104.74</f>
        <v>1104.74</v>
      </c>
      <c r="F99" s="27">
        <v>1058.4000000000001</v>
      </c>
      <c r="G99" s="27">
        <v>1081.5899999999999</v>
      </c>
      <c r="H99" s="8">
        <v>818.55</v>
      </c>
      <c r="I99" s="27">
        <v>1250</v>
      </c>
      <c r="J99" s="27">
        <v>1250</v>
      </c>
    </row>
    <row r="100" spans="1:17">
      <c r="A100" s="3" t="s">
        <v>89</v>
      </c>
      <c r="B100" s="9">
        <f t="shared" ref="B100:F100" si="20">(((((((((((((B85)+(B86))+(B87))+(B88))+(B89))+(B91))+(B92))+(B93))+(B94))+(B95))+(B96))+(B97))+(B98))+(B99)</f>
        <v>11398.81</v>
      </c>
      <c r="C100" s="9">
        <f t="shared" si="20"/>
        <v>12222.76</v>
      </c>
      <c r="D100" s="9">
        <f t="shared" si="20"/>
        <v>14313.04</v>
      </c>
      <c r="E100" s="9">
        <f t="shared" si="20"/>
        <v>12988.699999999999</v>
      </c>
      <c r="F100" s="34">
        <f t="shared" si="20"/>
        <v>25299.570000000003</v>
      </c>
      <c r="G100" s="34">
        <f>SUM(G86:G99)</f>
        <v>25241.53</v>
      </c>
      <c r="H100" s="9">
        <f>SUM(H86:H99)</f>
        <v>15574.8</v>
      </c>
      <c r="I100" s="34">
        <f>+SUM(I86:I99)</f>
        <v>26125</v>
      </c>
      <c r="J100" s="34">
        <f>+SUM(J86:J99)</f>
        <v>23175</v>
      </c>
    </row>
    <row r="101" spans="1:17">
      <c r="A101" s="3" t="s">
        <v>90</v>
      </c>
      <c r="B101" s="9">
        <f t="shared" ref="B101:G101" si="21">(((B72)+(B77))+(B84))+(B100)</f>
        <v>45619.79</v>
      </c>
      <c r="C101" s="9">
        <f t="shared" si="21"/>
        <v>46691.12</v>
      </c>
      <c r="D101" s="9">
        <f t="shared" si="21"/>
        <v>59428.959999999999</v>
      </c>
      <c r="E101" s="9">
        <f t="shared" si="21"/>
        <v>61790.59</v>
      </c>
      <c r="F101" s="34">
        <f t="shared" si="21"/>
        <v>83960.860000000015</v>
      </c>
      <c r="G101" s="34">
        <f t="shared" si="21"/>
        <v>68449.789999999994</v>
      </c>
      <c r="H101" s="9">
        <f t="shared" ref="H101" si="22">(((H72)+(H77))+(H84))+(H100)</f>
        <v>48454.649999999994</v>
      </c>
      <c r="I101" s="34">
        <f>(((I72)+(I77))+(I84))+(I100)</f>
        <v>71487.5</v>
      </c>
      <c r="J101" s="34">
        <f>(((J72)+(J77))+(J84))+(J100)</f>
        <v>70339</v>
      </c>
    </row>
    <row r="102" spans="1:17">
      <c r="A102" s="3" t="s">
        <v>91</v>
      </c>
      <c r="B102" s="7"/>
      <c r="C102" s="7"/>
      <c r="D102" s="7"/>
      <c r="E102" s="7"/>
      <c r="F102" s="33"/>
      <c r="G102" s="33"/>
      <c r="H102" s="7"/>
      <c r="I102" s="27"/>
      <c r="J102" s="27"/>
    </row>
    <row r="103" spans="1:17" ht="26.1" customHeight="1">
      <c r="A103" s="3" t="s">
        <v>92</v>
      </c>
      <c r="B103" s="8">
        <f>9187.43</f>
        <v>9187.43</v>
      </c>
      <c r="C103" s="8">
        <f>11036.95</f>
        <v>11036.95</v>
      </c>
      <c r="D103" s="8">
        <f>12960.59</f>
        <v>12960.59</v>
      </c>
      <c r="E103" s="8">
        <f>12941.95</f>
        <v>12941.95</v>
      </c>
      <c r="F103" s="27">
        <v>12942.21</v>
      </c>
      <c r="G103" s="27">
        <f>14987.22-2264.45</f>
        <v>12722.77</v>
      </c>
      <c r="H103" s="8">
        <f>12204.41-2411.13</f>
        <v>9793.2799999999988</v>
      </c>
      <c r="I103" s="27">
        <v>12969.91</v>
      </c>
      <c r="J103" s="35">
        <f>+I103</f>
        <v>12969.91</v>
      </c>
      <c r="K103" s="131" t="s">
        <v>366</v>
      </c>
      <c r="L103" s="131"/>
      <c r="M103" s="131"/>
      <c r="N103" s="131"/>
      <c r="O103" s="131"/>
      <c r="P103" s="11"/>
      <c r="Q103" s="11"/>
    </row>
    <row r="104" spans="1:17" ht="29.65" customHeight="1">
      <c r="A104" s="3" t="s">
        <v>214</v>
      </c>
      <c r="B104" s="8">
        <v>0</v>
      </c>
      <c r="C104" s="8">
        <v>0</v>
      </c>
      <c r="D104" s="8">
        <v>0</v>
      </c>
      <c r="E104" s="8">
        <v>0</v>
      </c>
      <c r="F104" s="27">
        <v>0</v>
      </c>
      <c r="G104" s="27">
        <v>2264.4499999999998</v>
      </c>
      <c r="H104" s="8">
        <v>2411.13</v>
      </c>
      <c r="I104" s="27">
        <v>2422.13</v>
      </c>
      <c r="J104" s="27">
        <v>2425</v>
      </c>
      <c r="K104" s="114" t="s">
        <v>306</v>
      </c>
      <c r="L104" s="114"/>
      <c r="M104" s="114"/>
      <c r="N104" s="114"/>
      <c r="O104" s="114"/>
      <c r="P104" s="11"/>
      <c r="Q104" s="11"/>
    </row>
    <row r="105" spans="1:17">
      <c r="A105" s="3" t="s">
        <v>93</v>
      </c>
      <c r="B105" s="9">
        <f>(B102)+(B103)</f>
        <v>9187.43</v>
      </c>
      <c r="C105" s="9">
        <f>(C102)+(C103)</f>
        <v>11036.95</v>
      </c>
      <c r="D105" s="9">
        <f>(D102)+(D103)</f>
        <v>12960.59</v>
      </c>
      <c r="E105" s="9">
        <f>(E102)+(E103)</f>
        <v>12941.95</v>
      </c>
      <c r="F105" s="34">
        <f>SUM(F103:F104)</f>
        <v>12942.21</v>
      </c>
      <c r="G105" s="34">
        <f>SUM(G103:G104)</f>
        <v>14987.220000000001</v>
      </c>
      <c r="H105" s="9">
        <f>SUM(H103:H104)</f>
        <v>12204.41</v>
      </c>
      <c r="I105" s="34">
        <f>+I103+I104</f>
        <v>15392.04</v>
      </c>
      <c r="J105" s="34">
        <f>+J103+J104</f>
        <v>15394.91</v>
      </c>
    </row>
    <row r="106" spans="1:17">
      <c r="A106" s="3" t="s">
        <v>94</v>
      </c>
      <c r="B106" s="8">
        <f>10033.92</f>
        <v>10033.92</v>
      </c>
      <c r="C106" s="8">
        <f>11177</f>
        <v>11177</v>
      </c>
      <c r="D106" s="7"/>
      <c r="E106" s="8">
        <f>8964</f>
        <v>8964</v>
      </c>
      <c r="F106" s="33"/>
      <c r="G106" s="33"/>
      <c r="H106" s="7"/>
      <c r="I106" s="27"/>
      <c r="J106" s="27"/>
    </row>
    <row r="107" spans="1:17">
      <c r="A107" s="3" t="s">
        <v>95</v>
      </c>
      <c r="B107" s="7"/>
      <c r="C107" s="7"/>
      <c r="D107" s="7"/>
      <c r="E107" s="7"/>
      <c r="F107" s="33"/>
      <c r="G107" s="33"/>
      <c r="H107" s="7"/>
      <c r="I107" s="27"/>
      <c r="J107" s="27"/>
      <c r="K107" s="1" t="s">
        <v>213</v>
      </c>
    </row>
    <row r="108" spans="1:17">
      <c r="A108" s="3" t="s">
        <v>96</v>
      </c>
      <c r="B108" s="8">
        <f>1302.01</f>
        <v>1302.01</v>
      </c>
      <c r="C108" s="8">
        <f>623</f>
        <v>623</v>
      </c>
      <c r="D108" s="7"/>
      <c r="E108" s="8">
        <f>5644</f>
        <v>5644</v>
      </c>
      <c r="F108" s="27">
        <v>1303</v>
      </c>
      <c r="G108" s="27">
        <v>0</v>
      </c>
      <c r="H108" s="8">
        <v>0</v>
      </c>
      <c r="I108" s="27">
        <v>0</v>
      </c>
      <c r="J108" s="27">
        <v>0</v>
      </c>
    </row>
    <row r="109" spans="1:17">
      <c r="A109" s="3" t="s">
        <v>97</v>
      </c>
      <c r="B109" s="7"/>
      <c r="C109" s="8">
        <f>733</f>
        <v>733</v>
      </c>
      <c r="D109" s="7"/>
      <c r="E109" s="7"/>
      <c r="F109" s="33"/>
      <c r="G109" s="33">
        <v>0</v>
      </c>
      <c r="H109" s="7">
        <v>0</v>
      </c>
      <c r="I109" s="27">
        <v>968</v>
      </c>
      <c r="J109" s="8">
        <v>0</v>
      </c>
      <c r="K109" s="1" t="s">
        <v>309</v>
      </c>
    </row>
    <row r="110" spans="1:17">
      <c r="A110" s="3" t="s">
        <v>98</v>
      </c>
      <c r="B110" s="8">
        <f>200</f>
        <v>200</v>
      </c>
      <c r="C110" s="7"/>
      <c r="D110" s="8">
        <f>200</f>
        <v>200</v>
      </c>
      <c r="E110" s="7"/>
      <c r="F110" s="27">
        <f>200</f>
        <v>200</v>
      </c>
      <c r="G110" s="27">
        <v>0</v>
      </c>
      <c r="H110" s="8">
        <v>200</v>
      </c>
      <c r="I110" s="27">
        <v>242</v>
      </c>
      <c r="J110" s="27">
        <v>200</v>
      </c>
      <c r="K110" s="122" t="s">
        <v>288</v>
      </c>
    </row>
    <row r="111" spans="1:17">
      <c r="A111" s="3" t="s">
        <v>99</v>
      </c>
      <c r="B111" s="8">
        <f>1108.31</f>
        <v>1108.31</v>
      </c>
      <c r="C111" s="8">
        <f>855</f>
        <v>855</v>
      </c>
      <c r="D111" s="8">
        <f>978</f>
        <v>978</v>
      </c>
      <c r="E111" s="8">
        <f>1247</f>
        <v>1247</v>
      </c>
      <c r="F111" s="33"/>
      <c r="G111" s="33">
        <v>0</v>
      </c>
      <c r="H111" s="7">
        <v>0</v>
      </c>
      <c r="I111" s="27">
        <v>0</v>
      </c>
      <c r="J111" s="27">
        <v>0</v>
      </c>
      <c r="K111" s="122" t="s">
        <v>213</v>
      </c>
    </row>
    <row r="112" spans="1:17">
      <c r="A112" s="3" t="s">
        <v>100</v>
      </c>
      <c r="B112" s="7"/>
      <c r="C112" s="8">
        <f>912</f>
        <v>912</v>
      </c>
      <c r="D112" s="8">
        <f>2630</f>
        <v>2630</v>
      </c>
      <c r="E112" s="7"/>
      <c r="F112" s="27">
        <v>13067</v>
      </c>
      <c r="G112" s="27">
        <v>15308</v>
      </c>
      <c r="H112" s="8">
        <v>15833</v>
      </c>
      <c r="I112" s="27">
        <v>17545</v>
      </c>
      <c r="J112" s="8">
        <f>+H112*1.1</f>
        <v>17416.300000000003</v>
      </c>
      <c r="K112" s="1" t="s">
        <v>310</v>
      </c>
    </row>
    <row r="113" spans="1:15">
      <c r="A113" s="3" t="s">
        <v>101</v>
      </c>
      <c r="B113" s="8">
        <f>1124.17</f>
        <v>1124.17</v>
      </c>
      <c r="C113" s="8">
        <f>-915</f>
        <v>-915</v>
      </c>
      <c r="D113" s="8">
        <f>1285</f>
        <v>1285</v>
      </c>
      <c r="E113" s="8">
        <f>4273</f>
        <v>4273</v>
      </c>
      <c r="F113" s="27">
        <v>2814</v>
      </c>
      <c r="G113" s="27">
        <v>3808</v>
      </c>
      <c r="H113" s="8">
        <v>1842</v>
      </c>
      <c r="I113" s="27">
        <v>6655</v>
      </c>
      <c r="J113" s="8">
        <f>+G113*1.1</f>
        <v>4188.8</v>
      </c>
      <c r="K113" s="1" t="s">
        <v>311</v>
      </c>
    </row>
    <row r="114" spans="1:15">
      <c r="A114" s="3" t="s">
        <v>102</v>
      </c>
      <c r="B114" s="9">
        <f t="shared" ref="B114:F114" si="23">((((((B107)+(B108))+(B109))+(B110))+(B111))+(B112))+(B113)</f>
        <v>3734.49</v>
      </c>
      <c r="C114" s="9">
        <f t="shared" si="23"/>
        <v>2208</v>
      </c>
      <c r="D114" s="9">
        <f t="shared" si="23"/>
        <v>5093</v>
      </c>
      <c r="E114" s="9">
        <f t="shared" si="23"/>
        <v>11164</v>
      </c>
      <c r="F114" s="34">
        <f t="shared" si="23"/>
        <v>17384</v>
      </c>
      <c r="G114" s="34">
        <f t="shared" ref="G114" si="24">((((((G107)+(G108))+(G109))+(G110))+(G111))+(G112))+(G113)</f>
        <v>19116</v>
      </c>
      <c r="H114" s="9">
        <f t="shared" ref="H114" si="25">((((((H107)+(H108))+(H109))+(H110))+(H111))+(H112))+(H113)</f>
        <v>17875</v>
      </c>
      <c r="I114" s="34">
        <f>((((((I107)+(I108))+(I109))+(I110))+(I111))+(I112))+(I113)</f>
        <v>25410</v>
      </c>
      <c r="J114" s="34">
        <f>SUM(J108:J113)</f>
        <v>21805.100000000002</v>
      </c>
      <c r="K114" s="122" t="s">
        <v>213</v>
      </c>
    </row>
    <row r="115" spans="1:15">
      <c r="A115" s="3" t="s">
        <v>103</v>
      </c>
      <c r="B115" s="9">
        <f t="shared" ref="B115:F115" si="26">((((((B62)+(B70))+(B71))+(B101))+(B105))+(B106))+(B114)</f>
        <v>85089.640000000014</v>
      </c>
      <c r="C115" s="9">
        <f t="shared" si="26"/>
        <v>83717.39</v>
      </c>
      <c r="D115" s="9">
        <f t="shared" si="26"/>
        <v>89863.01999999999</v>
      </c>
      <c r="E115" s="9">
        <f t="shared" si="26"/>
        <v>107062.23999999999</v>
      </c>
      <c r="F115" s="34">
        <f t="shared" si="26"/>
        <v>126264.91</v>
      </c>
      <c r="G115" s="34">
        <f>((((((G62)+(G70))+(G71))+(G101))+(G105))+(G106))+(G114)</f>
        <v>128706.37</v>
      </c>
      <c r="H115" s="9">
        <f>((((((H62)+(H70))+(H71))+(H101))+(H105))+(H106))+(H114)</f>
        <v>96780.239999999991</v>
      </c>
      <c r="I115" s="34">
        <f>((((((I62)+(I70))+(I71))+(I101))+(I105))+(I106))+(I114)</f>
        <v>131789.54</v>
      </c>
      <c r="J115" s="34">
        <f>((((((J62)+(J70))+(J71))+(J101))+(J105))+(J106))+(J114)</f>
        <v>132039.01</v>
      </c>
    </row>
    <row r="116" spans="1:15">
      <c r="A116" s="3" t="s">
        <v>104</v>
      </c>
      <c r="B116" s="7"/>
      <c r="C116" s="7"/>
      <c r="D116" s="7"/>
      <c r="E116" s="7"/>
      <c r="F116" s="33"/>
      <c r="G116" s="33"/>
      <c r="H116" s="7"/>
      <c r="I116" s="27"/>
      <c r="J116" s="27"/>
      <c r="K116" s="125" t="s">
        <v>213</v>
      </c>
    </row>
    <row r="117" spans="1:15">
      <c r="A117" s="3" t="s">
        <v>105</v>
      </c>
      <c r="B117" s="7"/>
      <c r="C117" s="7"/>
      <c r="D117" s="24"/>
      <c r="E117" s="7"/>
      <c r="F117" s="33"/>
      <c r="G117" s="33"/>
      <c r="H117" s="7"/>
      <c r="I117" s="27"/>
      <c r="J117" s="27"/>
    </row>
    <row r="118" spans="1:15" ht="29.25">
      <c r="A118" s="3" t="s">
        <v>106</v>
      </c>
      <c r="B118" s="8">
        <f>66725.87</f>
        <v>66725.87</v>
      </c>
      <c r="C118" s="8">
        <f>60603.44</f>
        <v>60603.44</v>
      </c>
      <c r="D118" s="8">
        <f>62620.17</f>
        <v>62620.17</v>
      </c>
      <c r="E118" s="8">
        <f>104298.94</f>
        <v>104298.94</v>
      </c>
      <c r="F118" s="8">
        <v>89443.1</v>
      </c>
      <c r="G118" s="27">
        <v>71146.27</v>
      </c>
      <c r="H118" s="8">
        <v>63910.34</v>
      </c>
      <c r="I118" s="27">
        <v>105183.91</v>
      </c>
      <c r="J118" s="110">
        <f>165911.87-J120</f>
        <v>60470.899999999994</v>
      </c>
      <c r="K118" s="128" t="s">
        <v>361</v>
      </c>
      <c r="L118" s="11" t="s">
        <v>213</v>
      </c>
    </row>
    <row r="119" spans="1:15" ht="28.5">
      <c r="A119" s="3" t="s">
        <v>271</v>
      </c>
      <c r="B119" s="8"/>
      <c r="C119" s="8"/>
      <c r="D119" s="8"/>
      <c r="E119" s="8"/>
      <c r="F119" s="27"/>
      <c r="G119" s="27"/>
      <c r="H119" s="8"/>
      <c r="I119" s="32">
        <v>135000</v>
      </c>
      <c r="J119" s="32">
        <v>0</v>
      </c>
      <c r="K119" s="128" t="s">
        <v>360</v>
      </c>
    </row>
    <row r="120" spans="1:15" ht="22.5">
      <c r="A120" s="3" t="s">
        <v>359</v>
      </c>
      <c r="B120" s="8"/>
      <c r="C120" s="8"/>
      <c r="D120" s="8"/>
      <c r="E120" s="8"/>
      <c r="F120" s="27"/>
      <c r="G120" s="27"/>
      <c r="H120" s="8"/>
      <c r="I120" s="32"/>
      <c r="J120" s="32">
        <v>105440.97</v>
      </c>
      <c r="K120" s="1" t="s">
        <v>362</v>
      </c>
    </row>
    <row r="121" spans="1:15">
      <c r="A121" s="3" t="s">
        <v>107</v>
      </c>
      <c r="B121" s="8">
        <f>387</f>
        <v>387</v>
      </c>
      <c r="C121" s="8">
        <f>1299</f>
        <v>1299</v>
      </c>
      <c r="D121" s="8">
        <f>740</f>
        <v>740</v>
      </c>
      <c r="E121" s="8">
        <f>966</f>
        <v>966</v>
      </c>
      <c r="F121" s="27">
        <v>1337.5</v>
      </c>
      <c r="G121" s="27">
        <v>991.75</v>
      </c>
      <c r="H121" s="8">
        <v>667.25</v>
      </c>
      <c r="I121" s="27">
        <v>1000</v>
      </c>
      <c r="J121" s="27">
        <f>+I121</f>
        <v>1000</v>
      </c>
      <c r="K121" s="1" t="s">
        <v>213</v>
      </c>
    </row>
    <row r="122" spans="1:15">
      <c r="A122" s="3" t="s">
        <v>108</v>
      </c>
      <c r="B122" s="8">
        <f>41639.78</f>
        <v>41639.78</v>
      </c>
      <c r="C122" s="8">
        <f>31220.78</f>
        <v>31220.78</v>
      </c>
      <c r="D122" s="8">
        <f>32176.87</f>
        <v>32176.87</v>
      </c>
      <c r="E122" s="8">
        <f>40065.43</f>
        <v>40065.43</v>
      </c>
      <c r="F122" s="27">
        <v>39419.86</v>
      </c>
      <c r="G122" s="27">
        <f>45187.05-3454.29</f>
        <v>41732.76</v>
      </c>
      <c r="H122" s="8">
        <f>56418.17-3726.77</f>
        <v>52691.4</v>
      </c>
      <c r="I122" s="27">
        <v>54853.26</v>
      </c>
      <c r="J122" s="8">
        <f>+I122*1.051</f>
        <v>57650.776259999999</v>
      </c>
      <c r="K122" s="1" t="s">
        <v>338</v>
      </c>
      <c r="L122" s="38" t="s">
        <v>213</v>
      </c>
      <c r="M122" s="53"/>
      <c r="O122" s="38"/>
    </row>
    <row r="123" spans="1:15">
      <c r="A123" s="62" t="s">
        <v>297</v>
      </c>
      <c r="B123" s="8">
        <v>0</v>
      </c>
      <c r="C123" s="8">
        <v>0</v>
      </c>
      <c r="D123" s="8">
        <v>0</v>
      </c>
      <c r="E123" s="8">
        <v>0</v>
      </c>
      <c r="F123" s="27">
        <v>0</v>
      </c>
      <c r="G123" s="27">
        <f>2900+554.29</f>
        <v>3454.29</v>
      </c>
      <c r="H123" s="8">
        <v>3726.77</v>
      </c>
      <c r="I123" s="27">
        <v>3400</v>
      </c>
      <c r="J123" s="77">
        <f>+J17</f>
        <v>15858.48</v>
      </c>
      <c r="K123" s="123" t="s">
        <v>301</v>
      </c>
      <c r="M123" s="53"/>
      <c r="O123" s="38"/>
    </row>
    <row r="124" spans="1:15">
      <c r="A124" s="3" t="s">
        <v>109</v>
      </c>
      <c r="B124" s="9">
        <f t="shared" ref="B124:G124" si="27">+SUM(B118:B123)</f>
        <v>108752.65</v>
      </c>
      <c r="C124" s="9">
        <f t="shared" si="27"/>
        <v>93123.22</v>
      </c>
      <c r="D124" s="9">
        <f t="shared" si="27"/>
        <v>95537.04</v>
      </c>
      <c r="E124" s="9">
        <f t="shared" si="27"/>
        <v>145330.37</v>
      </c>
      <c r="F124" s="34">
        <f t="shared" si="27"/>
        <v>130200.46</v>
      </c>
      <c r="G124" s="34">
        <f t="shared" si="27"/>
        <v>117325.06999999999</v>
      </c>
      <c r="H124" s="9">
        <f>+SUM(H118:H123)</f>
        <v>120995.76</v>
      </c>
      <c r="I124" s="34">
        <f>+SUM(I118:I123)</f>
        <v>299437.17</v>
      </c>
      <c r="J124" s="34">
        <f>+SUM(J118:J123)</f>
        <v>240421.12626000002</v>
      </c>
    </row>
    <row r="125" spans="1:15">
      <c r="A125" s="3" t="s">
        <v>110</v>
      </c>
      <c r="B125" s="7"/>
      <c r="C125" s="7"/>
      <c r="D125" s="7"/>
      <c r="E125" s="7"/>
      <c r="F125" s="33"/>
      <c r="G125" s="33"/>
      <c r="H125" s="7"/>
      <c r="I125" s="27"/>
      <c r="J125" s="27"/>
    </row>
    <row r="126" spans="1:15" s="11" customFormat="1" ht="15">
      <c r="A126" s="29" t="s">
        <v>216</v>
      </c>
      <c r="B126" s="33"/>
      <c r="C126" s="33"/>
      <c r="D126" s="33"/>
      <c r="E126" s="33"/>
      <c r="F126" s="33"/>
      <c r="G126" s="33">
        <v>40712.49</v>
      </c>
      <c r="H126" s="7">
        <v>0</v>
      </c>
      <c r="I126" s="32">
        <v>0</v>
      </c>
      <c r="J126" s="32">
        <v>0</v>
      </c>
      <c r="K126" s="129" t="s">
        <v>213</v>
      </c>
      <c r="L126" s="30"/>
      <c r="M126" s="30"/>
    </row>
    <row r="127" spans="1:15">
      <c r="A127" s="3" t="s">
        <v>111</v>
      </c>
      <c r="B127" s="8">
        <f>41262.3</f>
        <v>41262.300000000003</v>
      </c>
      <c r="C127" s="8">
        <f>42500.27</f>
        <v>42500.27</v>
      </c>
      <c r="D127" s="8">
        <f>45649.34</f>
        <v>45649.34</v>
      </c>
      <c r="E127" s="8">
        <f>45649.34</f>
        <v>45649.34</v>
      </c>
      <c r="F127" s="27">
        <v>74370.899999999994</v>
      </c>
      <c r="G127" s="27">
        <f>127414.77-40712.49</f>
        <v>86702.28</v>
      </c>
      <c r="H127" s="8">
        <v>88546.54</v>
      </c>
      <c r="I127" s="27">
        <v>88558.8</v>
      </c>
      <c r="J127" s="8">
        <v>85872.48</v>
      </c>
      <c r="K127" s="1" t="s">
        <v>313</v>
      </c>
    </row>
    <row r="128" spans="1:15">
      <c r="A128" s="3" t="s">
        <v>112</v>
      </c>
      <c r="B128" s="8">
        <f>1780.22</f>
        <v>1780.22</v>
      </c>
      <c r="C128" s="8">
        <f>15657.22</f>
        <v>15657.22</v>
      </c>
      <c r="D128" s="8">
        <f>15627.13</f>
        <v>15627.13</v>
      </c>
      <c r="E128" s="8">
        <f>20529.57</f>
        <v>20529.57</v>
      </c>
      <c r="F128" s="27">
        <v>22118.63</v>
      </c>
      <c r="G128" s="27">
        <v>21604.240000000002</v>
      </c>
      <c r="H128" s="8">
        <v>13784.6</v>
      </c>
      <c r="I128" s="27">
        <v>11622.74</v>
      </c>
      <c r="J128" s="8">
        <f>+I128*1.051</f>
        <v>12215.499739999999</v>
      </c>
      <c r="K128" s="1" t="s">
        <v>338</v>
      </c>
      <c r="L128" s="38"/>
      <c r="M128" s="21"/>
      <c r="O128" s="38"/>
    </row>
    <row r="129" spans="1:16">
      <c r="A129" s="3" t="s">
        <v>113</v>
      </c>
      <c r="B129" s="9">
        <f t="shared" ref="B129:F129" si="28">((B125)+(B127))+(B128)</f>
        <v>43042.520000000004</v>
      </c>
      <c r="C129" s="9">
        <f t="shared" si="28"/>
        <v>58157.49</v>
      </c>
      <c r="D129" s="9">
        <f t="shared" si="28"/>
        <v>61276.469999999994</v>
      </c>
      <c r="E129" s="9">
        <f t="shared" si="28"/>
        <v>66178.91</v>
      </c>
      <c r="F129" s="34">
        <f t="shared" si="28"/>
        <v>96489.53</v>
      </c>
      <c r="G129" s="34">
        <f>SUM(G126:G128)</f>
        <v>149019.00999999998</v>
      </c>
      <c r="H129" s="9">
        <f>SUM(H126:H128)</f>
        <v>102331.14</v>
      </c>
      <c r="I129" s="34">
        <f>SUM(I126:I128)</f>
        <v>100181.54000000001</v>
      </c>
      <c r="J129" s="34">
        <f>SUM(J126:J128)</f>
        <v>98087.979739999995</v>
      </c>
      <c r="L129" s="38" t="s">
        <v>213</v>
      </c>
      <c r="M129" s="21" t="s">
        <v>213</v>
      </c>
      <c r="O129" s="38"/>
    </row>
    <row r="130" spans="1:16">
      <c r="A130" s="3" t="s">
        <v>114</v>
      </c>
      <c r="B130" s="8">
        <f>10949.1</f>
        <v>10949.1</v>
      </c>
      <c r="C130" s="8">
        <f>33019.88</f>
        <v>33019.879999999997</v>
      </c>
      <c r="D130" s="8">
        <f>30115.86</f>
        <v>30115.86</v>
      </c>
      <c r="E130" s="8">
        <f>28515.32</f>
        <v>28515.32</v>
      </c>
      <c r="F130" s="27">
        <v>4247.54</v>
      </c>
      <c r="G130" s="27">
        <v>0</v>
      </c>
      <c r="H130" s="8">
        <v>0</v>
      </c>
      <c r="I130" s="27">
        <v>0</v>
      </c>
      <c r="J130" s="27">
        <v>0</v>
      </c>
      <c r="K130" s="1" t="s">
        <v>289</v>
      </c>
      <c r="P130" s="24"/>
    </row>
    <row r="131" spans="1:16">
      <c r="A131" s="3" t="s">
        <v>115</v>
      </c>
      <c r="B131" s="8">
        <f>612.66</f>
        <v>612.66</v>
      </c>
      <c r="C131" s="8">
        <f>205.33</f>
        <v>205.33</v>
      </c>
      <c r="D131" s="7"/>
      <c r="E131" s="8">
        <f>208.06</f>
        <v>208.06</v>
      </c>
      <c r="F131" s="33"/>
      <c r="G131" s="33">
        <v>0</v>
      </c>
      <c r="H131" s="7">
        <v>0</v>
      </c>
      <c r="I131" s="27">
        <v>250</v>
      </c>
      <c r="J131" s="27">
        <v>250</v>
      </c>
    </row>
    <row r="132" spans="1:16" ht="28.5">
      <c r="A132" s="3" t="s">
        <v>116</v>
      </c>
      <c r="B132" s="8">
        <f>3564</f>
        <v>3564</v>
      </c>
      <c r="C132" s="8">
        <f>3960</f>
        <v>3960</v>
      </c>
      <c r="D132" s="8">
        <f>3292</f>
        <v>3292</v>
      </c>
      <c r="E132" s="8">
        <f>4647.17</f>
        <v>4647.17</v>
      </c>
      <c r="F132" s="27">
        <v>4649.3100000000004</v>
      </c>
      <c r="G132" s="27">
        <v>5099</v>
      </c>
      <c r="H132" s="8">
        <v>1704</v>
      </c>
      <c r="I132" s="27">
        <v>5608.9</v>
      </c>
      <c r="J132" s="8">
        <f>+I132*1.1</f>
        <v>6169.79</v>
      </c>
      <c r="K132" s="1" t="s">
        <v>339</v>
      </c>
      <c r="L132" s="38"/>
    </row>
    <row r="133" spans="1:16">
      <c r="A133" s="3" t="s">
        <v>117</v>
      </c>
      <c r="B133" s="8">
        <f>2106.21</f>
        <v>2106.21</v>
      </c>
      <c r="C133" s="8">
        <f>2075.73</f>
        <v>2075.73</v>
      </c>
      <c r="D133" s="8">
        <f>2043.47</f>
        <v>2043.47</v>
      </c>
      <c r="E133" s="8">
        <f>1991.96</f>
        <v>1991.96</v>
      </c>
      <c r="F133" s="27">
        <v>1991.2</v>
      </c>
      <c r="G133" s="27">
        <v>2224.1999999999998</v>
      </c>
      <c r="H133" s="8">
        <v>1114.04</v>
      </c>
      <c r="I133" s="27">
        <v>2125</v>
      </c>
      <c r="J133" s="27">
        <v>2500</v>
      </c>
      <c r="K133" s="125" t="s">
        <v>213</v>
      </c>
      <c r="L133" s="38"/>
    </row>
    <row r="134" spans="1:16">
      <c r="A134" s="3" t="s">
        <v>118</v>
      </c>
      <c r="B134" s="9">
        <f t="shared" ref="B134:F134" si="29">((((((B116)+(B124))+(B129))+(B130))+(B131))+(B132))+(B133)</f>
        <v>169027.13999999998</v>
      </c>
      <c r="C134" s="9">
        <f t="shared" si="29"/>
        <v>190541.65</v>
      </c>
      <c r="D134" s="9">
        <f t="shared" si="29"/>
        <v>192264.84</v>
      </c>
      <c r="E134" s="9">
        <f t="shared" si="29"/>
        <v>246871.79</v>
      </c>
      <c r="F134" s="34">
        <f t="shared" si="29"/>
        <v>237578.04</v>
      </c>
      <c r="G134" s="34">
        <f t="shared" ref="G134" si="30">((((((G116)+(G124))+(G129))+(G130))+(G131))+(G132))+(G133)</f>
        <v>273667.27999999997</v>
      </c>
      <c r="H134" s="9">
        <f t="shared" ref="H134" si="31">((((((H116)+(H124))+(H129))+(H130))+(H131))+(H132))+(H133)</f>
        <v>226144.94</v>
      </c>
      <c r="I134" s="34">
        <f>((((((I116)+(I124))+(I129))+(I130))+(I131))+(I132))+(I133)</f>
        <v>407602.61</v>
      </c>
      <c r="J134" s="34">
        <f>((((((J116)+(J124))+(J129))+(J130))+(J131))+(J132))+(J133)</f>
        <v>347428.89600000001</v>
      </c>
      <c r="K134" s="12" t="s">
        <v>213</v>
      </c>
      <c r="L134" s="21"/>
    </row>
    <row r="135" spans="1:16">
      <c r="A135" s="3" t="s">
        <v>119</v>
      </c>
      <c r="B135" s="7"/>
      <c r="C135" s="7"/>
      <c r="D135" s="7"/>
      <c r="E135" s="7"/>
      <c r="F135" s="33"/>
      <c r="G135" s="33"/>
      <c r="H135" s="7"/>
      <c r="I135" s="27"/>
      <c r="J135" s="27"/>
      <c r="K135" s="125" t="s">
        <v>213</v>
      </c>
      <c r="L135" s="21"/>
    </row>
    <row r="136" spans="1:16">
      <c r="A136" s="3" t="s">
        <v>120</v>
      </c>
      <c r="B136" s="7"/>
      <c r="C136" s="7"/>
      <c r="D136" s="7"/>
      <c r="E136" s="7"/>
      <c r="F136" s="33"/>
      <c r="G136" s="33"/>
      <c r="H136" s="7"/>
      <c r="I136" s="27"/>
      <c r="J136" s="27"/>
    </row>
    <row r="137" spans="1:16">
      <c r="A137" s="3" t="s">
        <v>121</v>
      </c>
      <c r="B137" s="7"/>
      <c r="C137" s="7"/>
      <c r="D137" s="7"/>
      <c r="E137" s="7"/>
      <c r="F137" s="33"/>
      <c r="G137" s="33"/>
      <c r="H137" s="7"/>
      <c r="I137" s="27"/>
      <c r="J137" s="27"/>
    </row>
    <row r="138" spans="1:16">
      <c r="A138" s="3" t="s">
        <v>122</v>
      </c>
      <c r="B138" s="8">
        <f>104162.6</f>
        <v>104162.6</v>
      </c>
      <c r="C138" s="7"/>
      <c r="D138" s="7"/>
      <c r="E138" s="7"/>
      <c r="F138" s="33"/>
      <c r="G138" s="33"/>
      <c r="H138" s="7">
        <v>2634</v>
      </c>
      <c r="I138" s="27">
        <v>0</v>
      </c>
      <c r="J138" s="27">
        <v>0</v>
      </c>
    </row>
    <row r="139" spans="1:16">
      <c r="A139" s="3" t="s">
        <v>123</v>
      </c>
      <c r="B139" s="8">
        <f>1000</f>
        <v>1000</v>
      </c>
      <c r="C139" s="8">
        <f>1100</f>
        <v>1100</v>
      </c>
      <c r="D139" s="8">
        <f>1150</f>
        <v>1150</v>
      </c>
      <c r="E139" s="8">
        <f>1050</f>
        <v>1050</v>
      </c>
      <c r="F139" s="27">
        <v>1725</v>
      </c>
      <c r="G139" s="27">
        <v>2650</v>
      </c>
      <c r="H139" s="8">
        <v>1302.54</v>
      </c>
      <c r="I139" s="27">
        <v>3000</v>
      </c>
      <c r="J139" s="27">
        <v>3000</v>
      </c>
      <c r="L139" s="38"/>
    </row>
    <row r="140" spans="1:16">
      <c r="A140" s="3" t="s">
        <v>124</v>
      </c>
      <c r="B140" s="8">
        <f>2962.99</f>
        <v>2962.99</v>
      </c>
      <c r="C140" s="8">
        <f>2500.01</f>
        <v>2500.0100000000002</v>
      </c>
      <c r="D140" s="8">
        <f>3503</f>
        <v>3503</v>
      </c>
      <c r="E140" s="8">
        <f>2533.31</f>
        <v>2533.31</v>
      </c>
      <c r="F140" s="27">
        <v>1578.07</v>
      </c>
      <c r="G140" s="27">
        <v>2760.96</v>
      </c>
      <c r="H140" s="8">
        <v>2800.2</v>
      </c>
      <c r="I140" s="27">
        <v>2500</v>
      </c>
      <c r="J140" s="27">
        <v>3000</v>
      </c>
      <c r="K140" s="1" t="s">
        <v>213</v>
      </c>
    </row>
    <row r="141" spans="1:16">
      <c r="A141" s="3" t="s">
        <v>125</v>
      </c>
      <c r="B141" s="8">
        <f>217.75</f>
        <v>217.75</v>
      </c>
      <c r="C141" s="8">
        <f>247.18</f>
        <v>247.18</v>
      </c>
      <c r="D141" s="8">
        <f>233.47</f>
        <v>233.47</v>
      </c>
      <c r="E141" s="8">
        <f>233.2</f>
        <v>233.2</v>
      </c>
      <c r="F141" s="27">
        <v>236.66</v>
      </c>
      <c r="G141" s="27">
        <v>250.1</v>
      </c>
      <c r="H141" s="8">
        <v>185.34</v>
      </c>
      <c r="I141" s="27">
        <v>260</v>
      </c>
      <c r="J141" s="27">
        <v>260</v>
      </c>
      <c r="K141" s="1" t="s">
        <v>213</v>
      </c>
    </row>
    <row r="142" spans="1:16">
      <c r="A142" s="3" t="s">
        <v>126</v>
      </c>
      <c r="B142" s="8">
        <f>502.74</f>
        <v>502.74</v>
      </c>
      <c r="C142" s="8">
        <f>990.27</f>
        <v>990.27</v>
      </c>
      <c r="D142" s="8">
        <f>1022.28</f>
        <v>1022.28</v>
      </c>
      <c r="E142" s="8">
        <f>1022.28</f>
        <v>1022.28</v>
      </c>
      <c r="F142" s="27">
        <v>1022.44</v>
      </c>
      <c r="G142" s="27">
        <v>1018.16</v>
      </c>
      <c r="H142" s="8">
        <v>767.46</v>
      </c>
      <c r="I142" s="27">
        <v>1100</v>
      </c>
      <c r="J142" s="27">
        <v>1100</v>
      </c>
      <c r="K142" s="1" t="s">
        <v>213</v>
      </c>
    </row>
    <row r="143" spans="1:16">
      <c r="A143" s="3" t="s">
        <v>127</v>
      </c>
      <c r="B143" s="9">
        <f t="shared" ref="B143:E143" si="32">(B141)+(B142)</f>
        <v>720.49</v>
      </c>
      <c r="C143" s="9">
        <f t="shared" si="32"/>
        <v>1237.45</v>
      </c>
      <c r="D143" s="9">
        <f t="shared" si="32"/>
        <v>1255.75</v>
      </c>
      <c r="E143" s="9">
        <f t="shared" si="32"/>
        <v>1255.48</v>
      </c>
      <c r="F143" s="34">
        <f>(F141)+(F142)</f>
        <v>1259.1000000000001</v>
      </c>
      <c r="G143" s="34">
        <f>+G141+G142</f>
        <v>1268.26</v>
      </c>
      <c r="H143" s="9">
        <f>+H141+H142</f>
        <v>952.80000000000007</v>
      </c>
      <c r="I143" s="34">
        <f>(I141)+(I142)</f>
        <v>1360</v>
      </c>
      <c r="J143" s="34">
        <f>(J141)+(J142)</f>
        <v>1360</v>
      </c>
    </row>
    <row r="144" spans="1:16">
      <c r="A144" s="3" t="s">
        <v>128</v>
      </c>
      <c r="B144" s="8">
        <f>1868.28</f>
        <v>1868.28</v>
      </c>
      <c r="C144" s="8">
        <f>1960.14</f>
        <v>1960.14</v>
      </c>
      <c r="D144" s="8">
        <f>2477.55</f>
        <v>2477.5500000000002</v>
      </c>
      <c r="E144" s="8">
        <f>2564.11</f>
        <v>2564.11</v>
      </c>
      <c r="F144" s="27">
        <v>1976.07</v>
      </c>
      <c r="G144" s="27">
        <v>3064.11</v>
      </c>
      <c r="H144" s="8">
        <v>2818.75</v>
      </c>
      <c r="I144" s="27">
        <v>3500</v>
      </c>
      <c r="J144" s="27">
        <v>3750</v>
      </c>
      <c r="K144" s="1" t="s">
        <v>213</v>
      </c>
      <c r="L144" s="11" t="s">
        <v>213</v>
      </c>
    </row>
    <row r="145" spans="1:11">
      <c r="A145" s="3" t="s">
        <v>129</v>
      </c>
      <c r="B145" s="9">
        <f t="shared" ref="B145:F145" si="33">(((((B137)+(B138))+(B139))+(B140))+(B143))+(B144)</f>
        <v>110714.36000000002</v>
      </c>
      <c r="C145" s="9">
        <f t="shared" si="33"/>
        <v>6797.6</v>
      </c>
      <c r="D145" s="9">
        <f t="shared" si="33"/>
        <v>8386.2999999999993</v>
      </c>
      <c r="E145" s="9">
        <f t="shared" si="33"/>
        <v>7402.9</v>
      </c>
      <c r="F145" s="34">
        <f t="shared" si="33"/>
        <v>6538.24</v>
      </c>
      <c r="G145" s="34">
        <f>SUM(G139:G144)+G137-G143</f>
        <v>9743.33</v>
      </c>
      <c r="H145" s="9">
        <f>+H138+H139+H140+H143+H144</f>
        <v>10508.29</v>
      </c>
      <c r="I145" s="34">
        <f>(((((I137)+(I138))+(I139))+(I140))+(I143))+(I144)</f>
        <v>10360</v>
      </c>
      <c r="J145" s="34">
        <f>(((((J137)+(J138))+(J139))+(J140))+(J143))+(J144)</f>
        <v>11110</v>
      </c>
    </row>
    <row r="146" spans="1:11">
      <c r="A146" s="3" t="s">
        <v>130</v>
      </c>
      <c r="B146" s="9">
        <f t="shared" ref="B146:I146" si="34">(B136)+(B145)</f>
        <v>110714.36000000002</v>
      </c>
      <c r="C146" s="9">
        <f t="shared" si="34"/>
        <v>6797.6</v>
      </c>
      <c r="D146" s="9">
        <f t="shared" si="34"/>
        <v>8386.2999999999993</v>
      </c>
      <c r="E146" s="9">
        <f t="shared" si="34"/>
        <v>7402.9</v>
      </c>
      <c r="F146" s="34">
        <f t="shared" si="34"/>
        <v>6538.24</v>
      </c>
      <c r="G146" s="34">
        <f>(G145)</f>
        <v>9743.33</v>
      </c>
      <c r="H146" s="9">
        <f>(H145)</f>
        <v>10508.29</v>
      </c>
      <c r="I146" s="34">
        <f t="shared" si="34"/>
        <v>10360</v>
      </c>
      <c r="J146" s="34">
        <f t="shared" ref="J146" si="35">(J136)+(J145)</f>
        <v>11110</v>
      </c>
    </row>
    <row r="147" spans="1:11">
      <c r="A147" s="3" t="s">
        <v>131</v>
      </c>
      <c r="B147" s="8">
        <f>550.95</f>
        <v>550.95000000000005</v>
      </c>
      <c r="C147" s="8">
        <f>1619.44</f>
        <v>1619.44</v>
      </c>
      <c r="D147" s="8">
        <f>14483.6</f>
        <v>14483.6</v>
      </c>
      <c r="E147" s="8">
        <f>50</f>
        <v>50</v>
      </c>
      <c r="F147" s="27">
        <v>523.34</v>
      </c>
      <c r="G147" s="27">
        <v>100.48</v>
      </c>
      <c r="H147" s="8">
        <v>0</v>
      </c>
      <c r="I147" s="27">
        <v>775</v>
      </c>
      <c r="J147" s="27">
        <v>775</v>
      </c>
    </row>
    <row r="148" spans="1:11">
      <c r="A148" s="3" t="s">
        <v>132</v>
      </c>
      <c r="B148" s="7"/>
      <c r="C148" s="7"/>
      <c r="D148" s="7"/>
      <c r="E148" s="7"/>
      <c r="F148" s="33"/>
      <c r="G148" s="33"/>
      <c r="H148" s="7"/>
      <c r="I148" s="27"/>
      <c r="J148" s="27"/>
    </row>
    <row r="149" spans="1:11">
      <c r="A149" s="3" t="s">
        <v>133</v>
      </c>
      <c r="B149" s="7"/>
      <c r="C149" s="7"/>
      <c r="D149" s="7"/>
      <c r="E149" s="7"/>
      <c r="F149" s="33"/>
      <c r="G149" s="33"/>
      <c r="H149" s="7"/>
      <c r="I149" s="27"/>
      <c r="J149" s="27"/>
    </row>
    <row r="150" spans="1:11">
      <c r="A150" s="3" t="s">
        <v>134</v>
      </c>
      <c r="B150" s="8">
        <f>781.61</f>
        <v>781.61</v>
      </c>
      <c r="C150" s="8">
        <f>812</f>
        <v>812</v>
      </c>
      <c r="D150" s="8">
        <f>746.85</f>
        <v>746.85</v>
      </c>
      <c r="E150" s="8">
        <f>868.47</f>
        <v>868.47</v>
      </c>
      <c r="F150" s="27">
        <v>765.27</v>
      </c>
      <c r="G150" s="27">
        <v>787.49</v>
      </c>
      <c r="H150" s="8">
        <v>594.38</v>
      </c>
      <c r="I150" s="27">
        <v>800</v>
      </c>
      <c r="J150" s="27">
        <v>800</v>
      </c>
      <c r="K150" s="1" t="s">
        <v>213</v>
      </c>
    </row>
    <row r="151" spans="1:11">
      <c r="A151" s="3" t="s">
        <v>135</v>
      </c>
      <c r="B151" s="8">
        <f>8942.45</f>
        <v>8942.4500000000007</v>
      </c>
      <c r="C151" s="8">
        <f>9545.16</f>
        <v>9545.16</v>
      </c>
      <c r="D151" s="8">
        <f>12104.02</f>
        <v>12104.02</v>
      </c>
      <c r="E151" s="8">
        <f>13538.1</f>
        <v>13538.1</v>
      </c>
      <c r="F151" s="27">
        <v>8335.3799999999992</v>
      </c>
      <c r="G151" s="27">
        <v>10301.5</v>
      </c>
      <c r="H151" s="8">
        <v>9312.81</v>
      </c>
      <c r="I151" s="27">
        <f>11450.78-309.8+495.52</f>
        <v>11636.500000000002</v>
      </c>
      <c r="J151" s="27">
        <v>13000</v>
      </c>
      <c r="K151" s="1" t="s">
        <v>213</v>
      </c>
    </row>
    <row r="152" spans="1:11">
      <c r="A152" s="3" t="s">
        <v>136</v>
      </c>
      <c r="B152" s="8">
        <f>284</f>
        <v>284</v>
      </c>
      <c r="C152" s="8">
        <f>160</f>
        <v>160</v>
      </c>
      <c r="D152" s="8">
        <f>167</f>
        <v>167</v>
      </c>
      <c r="E152" s="8">
        <f>211</f>
        <v>211</v>
      </c>
      <c r="F152" s="27">
        <v>440</v>
      </c>
      <c r="G152" s="27">
        <v>203</v>
      </c>
      <c r="H152" s="8">
        <v>278</v>
      </c>
      <c r="I152" s="27">
        <v>350</v>
      </c>
      <c r="J152" s="27">
        <v>350</v>
      </c>
    </row>
    <row r="153" spans="1:11">
      <c r="A153" s="3" t="s">
        <v>137</v>
      </c>
      <c r="B153" s="8">
        <f>3195.29</f>
        <v>3195.29</v>
      </c>
      <c r="C153" s="8">
        <f>5184.65</f>
        <v>5184.6499999999996</v>
      </c>
      <c r="D153" s="8">
        <f>4238.97</f>
        <v>4238.97</v>
      </c>
      <c r="E153" s="8">
        <f>4500</f>
        <v>4500</v>
      </c>
      <c r="F153" s="27">
        <v>4784.07</v>
      </c>
      <c r="G153" s="27">
        <v>4819.0200000000004</v>
      </c>
      <c r="H153" s="8">
        <v>4801.79</v>
      </c>
      <c r="I153" s="27">
        <v>5500</v>
      </c>
      <c r="J153" s="27">
        <v>5500</v>
      </c>
    </row>
    <row r="154" spans="1:11">
      <c r="A154" s="3" t="s">
        <v>138</v>
      </c>
      <c r="B154" s="8">
        <f>38174.17</f>
        <v>38174.17</v>
      </c>
      <c r="C154" s="8">
        <f>33290.25</f>
        <v>33290.25</v>
      </c>
      <c r="D154" s="8">
        <f>58692.41</f>
        <v>58692.41</v>
      </c>
      <c r="E154" s="8">
        <f>47840.08</f>
        <v>47840.08</v>
      </c>
      <c r="F154" s="27">
        <v>53937.63</v>
      </c>
      <c r="G154" s="27">
        <v>79003.31</v>
      </c>
      <c r="H154" s="8">
        <v>19077.919999999998</v>
      </c>
      <c r="I154" s="27">
        <v>60000</v>
      </c>
      <c r="J154" s="27">
        <v>60000</v>
      </c>
    </row>
    <row r="155" spans="1:11">
      <c r="A155" s="3" t="s">
        <v>139</v>
      </c>
      <c r="B155" s="7"/>
      <c r="C155" s="7"/>
      <c r="D155" s="7"/>
      <c r="E155" s="7"/>
      <c r="F155" s="27">
        <v>12166.64</v>
      </c>
      <c r="G155" s="27">
        <v>9350</v>
      </c>
      <c r="H155" s="8">
        <v>0</v>
      </c>
      <c r="I155" s="27">
        <v>15000</v>
      </c>
      <c r="J155" s="35">
        <v>15000</v>
      </c>
      <c r="K155" s="126" t="s">
        <v>294</v>
      </c>
    </row>
    <row r="156" spans="1:11">
      <c r="A156" s="3" t="s">
        <v>140</v>
      </c>
      <c r="B156" s="7"/>
      <c r="C156" s="8">
        <f>433542.86</f>
        <v>433542.86</v>
      </c>
      <c r="D156" s="8">
        <f>554556.7</f>
        <v>554556.69999999995</v>
      </c>
      <c r="E156" s="8">
        <f>83.58</f>
        <v>83.58</v>
      </c>
      <c r="F156" s="33">
        <v>0</v>
      </c>
      <c r="G156" s="33">
        <v>0</v>
      </c>
      <c r="H156" s="7">
        <v>0</v>
      </c>
      <c r="I156" s="27">
        <v>0</v>
      </c>
      <c r="J156" s="27">
        <v>0</v>
      </c>
    </row>
    <row r="157" spans="1:11">
      <c r="A157" s="3" t="s">
        <v>141</v>
      </c>
      <c r="B157" s="8">
        <f>202383.23</f>
        <v>202383.23</v>
      </c>
      <c r="C157" s="7"/>
      <c r="D157" s="8">
        <f>38353.08</f>
        <v>38353.08</v>
      </c>
      <c r="E157" s="7"/>
      <c r="F157" s="33"/>
      <c r="G157" s="33">
        <v>0</v>
      </c>
      <c r="H157" s="7"/>
      <c r="I157" s="27">
        <v>0</v>
      </c>
      <c r="J157" s="27">
        <v>0</v>
      </c>
    </row>
    <row r="158" spans="1:11">
      <c r="A158" s="3" t="s">
        <v>142</v>
      </c>
      <c r="B158" s="8">
        <f>135810.57</f>
        <v>135810.57</v>
      </c>
      <c r="C158" s="7"/>
      <c r="D158" s="7"/>
      <c r="E158" s="7"/>
      <c r="F158" s="33"/>
      <c r="G158" s="33">
        <v>0</v>
      </c>
      <c r="H158" s="7"/>
      <c r="I158" s="27">
        <v>0</v>
      </c>
      <c r="J158" s="27">
        <v>0</v>
      </c>
    </row>
    <row r="159" spans="1:11">
      <c r="A159" s="3" t="s">
        <v>143</v>
      </c>
      <c r="B159" s="8">
        <f>114007.63</f>
        <v>114007.63</v>
      </c>
      <c r="C159" s="7"/>
      <c r="D159" s="8">
        <f>5717.5</f>
        <v>5717.5</v>
      </c>
      <c r="E159" s="7"/>
      <c r="F159" s="33"/>
      <c r="G159" s="33">
        <v>0</v>
      </c>
      <c r="H159" s="7"/>
      <c r="I159" s="27">
        <v>0</v>
      </c>
      <c r="J159" s="27">
        <v>0</v>
      </c>
    </row>
    <row r="160" spans="1:11">
      <c r="A160" s="3" t="s">
        <v>283</v>
      </c>
      <c r="B160" s="8"/>
      <c r="C160" s="7"/>
      <c r="D160" s="8"/>
      <c r="E160" s="7"/>
      <c r="F160" s="33"/>
      <c r="G160" s="33">
        <v>2912.28</v>
      </c>
      <c r="H160" s="7">
        <v>68094.600000000006</v>
      </c>
      <c r="I160" s="27">
        <v>125975</v>
      </c>
      <c r="J160" s="35">
        <v>0</v>
      </c>
      <c r="K160" s="126" t="s">
        <v>341</v>
      </c>
    </row>
    <row r="161" spans="1:14">
      <c r="A161" s="3" t="s">
        <v>284</v>
      </c>
      <c r="B161" s="8"/>
      <c r="C161" s="7"/>
      <c r="D161" s="8"/>
      <c r="E161" s="7"/>
      <c r="F161" s="33"/>
      <c r="G161" s="33">
        <v>4477.5</v>
      </c>
      <c r="H161" s="7">
        <v>1263.0999999999999</v>
      </c>
      <c r="I161" s="27">
        <v>0</v>
      </c>
      <c r="J161" s="35">
        <v>0</v>
      </c>
      <c r="K161" s="126" t="s">
        <v>340</v>
      </c>
    </row>
    <row r="162" spans="1:14">
      <c r="A162" s="3" t="s">
        <v>144</v>
      </c>
      <c r="B162" s="9">
        <f t="shared" ref="B162:F162" si="36">((((B155)+(B156))+(B157))+(B158))+(B159)</f>
        <v>452201.43000000005</v>
      </c>
      <c r="C162" s="9">
        <f t="shared" si="36"/>
        <v>433542.86</v>
      </c>
      <c r="D162" s="9">
        <f t="shared" si="36"/>
        <v>598627.27999999991</v>
      </c>
      <c r="E162" s="9">
        <f t="shared" si="36"/>
        <v>83.58</v>
      </c>
      <c r="F162" s="34">
        <f t="shared" si="36"/>
        <v>12166.64</v>
      </c>
      <c r="G162" s="34">
        <f>+SUM(G155:G161)</f>
        <v>16739.78</v>
      </c>
      <c r="H162" s="9">
        <f>+SUM(H155:H161)</f>
        <v>69357.700000000012</v>
      </c>
      <c r="I162" s="34">
        <f>SUM(I155:I161)</f>
        <v>140975</v>
      </c>
      <c r="J162" s="9">
        <f>SUM(J155:J161)</f>
        <v>15000</v>
      </c>
    </row>
    <row r="163" spans="1:14">
      <c r="A163" s="3" t="s">
        <v>145</v>
      </c>
      <c r="B163" s="8">
        <f>90975.09</f>
        <v>90975.09</v>
      </c>
      <c r="C163" s="8">
        <f>120985.55</f>
        <v>120985.55</v>
      </c>
      <c r="D163" s="8">
        <f>98406.12</f>
        <v>98406.12</v>
      </c>
      <c r="E163" s="8">
        <f>165997.14</f>
        <v>165997.14000000001</v>
      </c>
      <c r="F163" s="27">
        <v>129805</v>
      </c>
      <c r="G163" s="27">
        <v>78800</v>
      </c>
      <c r="H163" s="8">
        <v>65935</v>
      </c>
      <c r="I163" s="27">
        <v>170000</v>
      </c>
      <c r="J163" s="27">
        <f>+I163</f>
        <v>170000</v>
      </c>
      <c r="K163" s="1" t="s">
        <v>213</v>
      </c>
    </row>
    <row r="164" spans="1:14">
      <c r="A164" s="3" t="s">
        <v>146</v>
      </c>
      <c r="B164" s="9">
        <f t="shared" ref="B164:G164" si="37">(((((((B149)+(B150))+(B151))+(B152))+(B153))+(B154))+(B162))+(B163)</f>
        <v>594554.04</v>
      </c>
      <c r="C164" s="9">
        <f t="shared" si="37"/>
        <v>603520.47</v>
      </c>
      <c r="D164" s="9">
        <f t="shared" si="37"/>
        <v>772982.64999999991</v>
      </c>
      <c r="E164" s="9">
        <f t="shared" si="37"/>
        <v>233038.37</v>
      </c>
      <c r="F164" s="34">
        <f t="shared" si="37"/>
        <v>210233.99</v>
      </c>
      <c r="G164" s="34">
        <f t="shared" si="37"/>
        <v>190654.09999999998</v>
      </c>
      <c r="H164" s="9">
        <f t="shared" ref="H164" si="38">(((((((H149)+(H150))+(H151))+(H152))+(H153))+(H154))+(H162))+(H163)</f>
        <v>169357.6</v>
      </c>
      <c r="I164" s="34">
        <f>(((((((I149)+(I150))+(I151))+(I152))+(I153))+(I154))+(I162))+(I163)</f>
        <v>389261.5</v>
      </c>
      <c r="J164" s="34">
        <f>(((((((J149)+(J150))+(J151))+(J152))+(J153))+(J154))+(J162))+(J163)</f>
        <v>264650</v>
      </c>
      <c r="K164" s="125"/>
      <c r="L164" s="38"/>
    </row>
    <row r="165" spans="1:14">
      <c r="A165" s="3" t="s">
        <v>147</v>
      </c>
      <c r="B165" s="7"/>
      <c r="C165" s="7"/>
      <c r="D165" s="7"/>
      <c r="E165" s="7"/>
      <c r="F165" s="33"/>
      <c r="G165" s="33"/>
      <c r="H165" s="7"/>
      <c r="I165" s="27"/>
      <c r="J165" s="27"/>
    </row>
    <row r="166" spans="1:14">
      <c r="A166" s="3" t="s">
        <v>148</v>
      </c>
      <c r="B166" s="8">
        <f>1997.46</f>
        <v>1997.46</v>
      </c>
      <c r="C166" s="8">
        <f>1330.5</f>
        <v>1330.5</v>
      </c>
      <c r="D166" s="8">
        <f>425.22</f>
        <v>425.22</v>
      </c>
      <c r="E166" s="8">
        <f>2516.67</f>
        <v>2516.67</v>
      </c>
      <c r="F166" s="27">
        <f>1097.28</f>
        <v>1097.28</v>
      </c>
      <c r="G166" s="27">
        <v>1100.95</v>
      </c>
      <c r="H166" s="8">
        <v>630.15</v>
      </c>
      <c r="I166" s="27">
        <v>5000</v>
      </c>
      <c r="J166" s="27">
        <f>+I166</f>
        <v>5000</v>
      </c>
    </row>
    <row r="167" spans="1:14">
      <c r="A167" s="3" t="s">
        <v>149</v>
      </c>
      <c r="B167" s="8">
        <f>30647.88</f>
        <v>30647.88</v>
      </c>
      <c r="C167" s="8">
        <f>17857.76</f>
        <v>17857.759999999998</v>
      </c>
      <c r="D167" s="8">
        <f>31078.45</f>
        <v>31078.45</v>
      </c>
      <c r="E167" s="8">
        <f>30215.31</f>
        <v>30215.31</v>
      </c>
      <c r="F167" s="27">
        <f>27681.35</f>
        <v>27681.35</v>
      </c>
      <c r="G167" s="27">
        <v>31115.919999999998</v>
      </c>
      <c r="H167" s="8">
        <v>28753.93</v>
      </c>
      <c r="I167" s="27">
        <v>30000</v>
      </c>
      <c r="J167" s="27">
        <v>30500</v>
      </c>
      <c r="K167" s="1" t="s">
        <v>308</v>
      </c>
    </row>
    <row r="168" spans="1:14">
      <c r="A168" s="3" t="s">
        <v>150</v>
      </c>
      <c r="B168" s="8">
        <f>4854.83</f>
        <v>4854.83</v>
      </c>
      <c r="C168" s="8">
        <f>1896.43</f>
        <v>1896.43</v>
      </c>
      <c r="D168" s="8">
        <f>6541.24</f>
        <v>6541.24</v>
      </c>
      <c r="E168" s="8">
        <f>9771.2</f>
        <v>9771.2000000000007</v>
      </c>
      <c r="F168" s="27">
        <f>1070.7</f>
        <v>1070.7</v>
      </c>
      <c r="G168" s="27">
        <v>1715.01</v>
      </c>
      <c r="H168" s="8">
        <v>3773.2</v>
      </c>
      <c r="I168" s="27">
        <v>10000</v>
      </c>
      <c r="J168" s="27">
        <f>+I168</f>
        <v>10000</v>
      </c>
      <c r="K168" s="122" t="s">
        <v>213</v>
      </c>
    </row>
    <row r="169" spans="1:14">
      <c r="A169" s="3" t="s">
        <v>151</v>
      </c>
      <c r="B169" s="9">
        <f t="shared" ref="B169:F169" si="39">(((B165)+(B166))+(B167))+(B168)</f>
        <v>37500.17</v>
      </c>
      <c r="C169" s="9">
        <f t="shared" si="39"/>
        <v>21084.69</v>
      </c>
      <c r="D169" s="9">
        <f t="shared" si="39"/>
        <v>38044.910000000003</v>
      </c>
      <c r="E169" s="9">
        <f t="shared" si="39"/>
        <v>42503.180000000008</v>
      </c>
      <c r="F169" s="34">
        <f t="shared" si="39"/>
        <v>29849.329999999998</v>
      </c>
      <c r="G169" s="34">
        <f t="shared" ref="G169:H169" si="40">(((G165)+(G166))+(G167))+(G168)</f>
        <v>33931.879999999997</v>
      </c>
      <c r="H169" s="9">
        <f t="shared" si="40"/>
        <v>33157.279999999999</v>
      </c>
      <c r="I169" s="34">
        <f>(((I165)+(I166))+(I167))+(I168)</f>
        <v>45000</v>
      </c>
      <c r="J169" s="34">
        <f>(((J165)+(J166))+(J167))+(J168)</f>
        <v>45500</v>
      </c>
    </row>
    <row r="170" spans="1:14">
      <c r="A170" s="3" t="s">
        <v>272</v>
      </c>
      <c r="B170" s="7"/>
      <c r="C170" s="7"/>
      <c r="D170" s="7"/>
      <c r="E170" s="7"/>
      <c r="F170" s="33"/>
      <c r="G170" s="33"/>
      <c r="H170" s="7"/>
      <c r="I170" s="27"/>
      <c r="J170" s="27"/>
    </row>
    <row r="171" spans="1:14">
      <c r="A171" s="3" t="s">
        <v>152</v>
      </c>
      <c r="B171" s="8">
        <f>21579.49</f>
        <v>21579.49</v>
      </c>
      <c r="C171" s="8">
        <f>23852.16</f>
        <v>23852.16</v>
      </c>
      <c r="D171" s="8">
        <f>27156.7</f>
        <v>27156.7</v>
      </c>
      <c r="E171" s="8">
        <f>30934.33</f>
        <v>30934.33</v>
      </c>
      <c r="F171" s="27">
        <v>33127.75</v>
      </c>
      <c r="G171" s="27">
        <v>39679.94</v>
      </c>
      <c r="H171" s="8">
        <v>25118.14</v>
      </c>
      <c r="I171" s="27">
        <f>(3590.28*12)*0.88</f>
        <v>37913.356800000001</v>
      </c>
      <c r="J171" s="35">
        <f>+I171</f>
        <v>37913.356800000001</v>
      </c>
      <c r="K171" s="130" t="s">
        <v>290</v>
      </c>
      <c r="L171" s="11" t="s">
        <v>213</v>
      </c>
    </row>
    <row r="172" spans="1:14">
      <c r="A172" s="3" t="s">
        <v>153</v>
      </c>
      <c r="B172" s="7"/>
      <c r="C172" s="8">
        <f>7319.14</f>
        <v>7319.14</v>
      </c>
      <c r="D172" s="8">
        <f>11390.62</f>
        <v>11390.62</v>
      </c>
      <c r="E172" s="8">
        <f>6866.78</f>
        <v>6866.78</v>
      </c>
      <c r="F172" s="27">
        <v>4847.2</v>
      </c>
      <c r="G172" s="27">
        <v>4183.0200000000004</v>
      </c>
      <c r="H172" s="8">
        <v>1867.5</v>
      </c>
      <c r="I172" s="27">
        <v>7500</v>
      </c>
      <c r="J172" s="8">
        <v>7500</v>
      </c>
      <c r="K172" s="1" t="s">
        <v>213</v>
      </c>
    </row>
    <row r="173" spans="1:14">
      <c r="A173" s="3" t="s">
        <v>154</v>
      </c>
      <c r="B173" s="8">
        <f>77295.6</f>
        <v>77295.600000000006</v>
      </c>
      <c r="C173" s="8">
        <f>76703.14</f>
        <v>76703.14</v>
      </c>
      <c r="D173" s="8">
        <f>67412.84</f>
        <v>67412.84</v>
      </c>
      <c r="E173" s="8">
        <f>66467.61</f>
        <v>66467.61</v>
      </c>
      <c r="F173" s="27">
        <v>65229.98</v>
      </c>
      <c r="G173" s="27">
        <v>86713.71</v>
      </c>
      <c r="H173" s="8">
        <v>64074.43</v>
      </c>
      <c r="I173" s="27">
        <v>79631.710000000006</v>
      </c>
      <c r="J173" s="8">
        <f>+((36.6*1.03)*2080)*1.0765</f>
        <v>84410.345759999997</v>
      </c>
      <c r="K173" s="127" t="s">
        <v>342</v>
      </c>
      <c r="N173" s="60"/>
    </row>
    <row r="174" spans="1:14">
      <c r="A174" s="3" t="s">
        <v>155</v>
      </c>
      <c r="B174" s="7"/>
      <c r="C174" s="7"/>
      <c r="D174" s="8">
        <f>5158.9</f>
        <v>5158.8999999999996</v>
      </c>
      <c r="E174" s="8">
        <f>5389.88</f>
        <v>5389.88</v>
      </c>
      <c r="F174" s="27">
        <v>9474.4500000000007</v>
      </c>
      <c r="G174" s="27">
        <v>10260.25</v>
      </c>
      <c r="H174" s="8">
        <v>13354.1</v>
      </c>
      <c r="I174" s="27">
        <v>10000</v>
      </c>
      <c r="J174" s="8">
        <f>+I174</f>
        <v>10000</v>
      </c>
      <c r="K174" s="121" t="s">
        <v>275</v>
      </c>
      <c r="M174" s="11" t="s">
        <v>213</v>
      </c>
    </row>
    <row r="175" spans="1:14">
      <c r="A175" s="3" t="s">
        <v>156</v>
      </c>
      <c r="B175" s="8">
        <f>4339.06</f>
        <v>4339.0600000000004</v>
      </c>
      <c r="C175" s="8">
        <f>4919.44</f>
        <v>4919.4399999999996</v>
      </c>
      <c r="D175" s="8">
        <f>4777.69</f>
        <v>4777.6899999999996</v>
      </c>
      <c r="E175" s="8">
        <f>5032.53</f>
        <v>5032.53</v>
      </c>
      <c r="F175" s="27">
        <v>4857.09</v>
      </c>
      <c r="G175" s="27">
        <v>6622.27</v>
      </c>
      <c r="H175" s="8">
        <v>5397.99</v>
      </c>
      <c r="I175" s="27">
        <v>5326.04</v>
      </c>
      <c r="J175" s="35">
        <f>+(J173/1.0765)*0.0725</f>
        <v>5684.8583999999992</v>
      </c>
      <c r="K175" s="126" t="s">
        <v>358</v>
      </c>
      <c r="N175" s="11" t="s">
        <v>213</v>
      </c>
    </row>
    <row r="176" spans="1:14">
      <c r="A176" s="3" t="s">
        <v>273</v>
      </c>
      <c r="B176" s="9">
        <f t="shared" ref="B176:F176" si="41">(((((B170)+(B171))+(B172))+(B173))+(B174))+(B175)</f>
        <v>103214.15000000001</v>
      </c>
      <c r="C176" s="9">
        <f t="shared" si="41"/>
        <v>112793.88</v>
      </c>
      <c r="D176" s="9">
        <f t="shared" si="41"/>
        <v>115896.75</v>
      </c>
      <c r="E176" s="9">
        <f t="shared" si="41"/>
        <v>114691.13</v>
      </c>
      <c r="F176" s="34">
        <f t="shared" si="41"/>
        <v>117536.46999999999</v>
      </c>
      <c r="G176" s="34">
        <f t="shared" ref="G176:H176" si="42">(((((G170)+(G171))+(G172))+(G173))+(G174))+(G175)</f>
        <v>147459.19</v>
      </c>
      <c r="H176" s="9">
        <f t="shared" si="42"/>
        <v>109812.16000000002</v>
      </c>
      <c r="I176" s="34">
        <f>(((((I170)+(I171))+(I172))+(I173))+(I174))+(I175)</f>
        <v>140371.10680000001</v>
      </c>
      <c r="J176" s="34">
        <f>(((((J170)+(J171))+(J172))+(J173))+(J174))+(J175)</f>
        <v>145508.56096</v>
      </c>
      <c r="N176" s="11" t="s">
        <v>213</v>
      </c>
    </row>
    <row r="177" spans="1:11">
      <c r="A177" s="3" t="s">
        <v>157</v>
      </c>
      <c r="B177" s="8">
        <f>30548.73</f>
        <v>30548.73</v>
      </c>
      <c r="C177" s="8">
        <f>23771.18</f>
        <v>23771.18</v>
      </c>
      <c r="D177" s="8">
        <f>10034.37</f>
        <v>10034.370000000001</v>
      </c>
      <c r="E177" s="8">
        <f>14894.56</f>
        <v>14894.56</v>
      </c>
      <c r="F177" s="27">
        <v>16050.88</v>
      </c>
      <c r="G177" s="27">
        <v>16619.05</v>
      </c>
      <c r="H177" s="8">
        <v>18183.8</v>
      </c>
      <c r="I177" s="27">
        <v>20000</v>
      </c>
      <c r="J177" s="27">
        <v>20000</v>
      </c>
      <c r="K177" s="122" t="s">
        <v>213</v>
      </c>
    </row>
    <row r="178" spans="1:11">
      <c r="A178" s="3" t="s">
        <v>158</v>
      </c>
      <c r="B178" s="9">
        <f t="shared" ref="B178:G178" si="43">((((B148)+(B164))+(B169))+(B176))+(B177)</f>
        <v>765817.09000000008</v>
      </c>
      <c r="C178" s="9">
        <f t="shared" si="43"/>
        <v>761170.22</v>
      </c>
      <c r="D178" s="9">
        <f t="shared" si="43"/>
        <v>936958.67999999993</v>
      </c>
      <c r="E178" s="9">
        <f t="shared" si="43"/>
        <v>405127.24</v>
      </c>
      <c r="F178" s="34">
        <f t="shared" si="43"/>
        <v>373670.67</v>
      </c>
      <c r="G178" s="34">
        <f t="shared" si="43"/>
        <v>388664.22</v>
      </c>
      <c r="H178" s="9">
        <f t="shared" ref="H178" si="44">((((H148)+(H164))+(H169))+(H176))+(H177)</f>
        <v>330510.84000000003</v>
      </c>
      <c r="I178" s="34">
        <f>((((I148)+(I164))+(I169))+(I176))+(I177)</f>
        <v>594632.60679999995</v>
      </c>
      <c r="J178" s="34">
        <f>((((J148)+(J164))+(J169))+(J176))+(J177)</f>
        <v>475658.56096000003</v>
      </c>
      <c r="K178" s="5" t="s">
        <v>213</v>
      </c>
    </row>
    <row r="179" spans="1:11">
      <c r="A179" s="3" t="s">
        <v>159</v>
      </c>
      <c r="B179" s="8">
        <f>1000</f>
        <v>1000</v>
      </c>
      <c r="C179" s="7"/>
      <c r="D179" s="8">
        <f>47380.9</f>
        <v>47380.9</v>
      </c>
      <c r="E179" s="7"/>
      <c r="F179" s="33"/>
      <c r="G179" s="33"/>
      <c r="H179" s="7">
        <v>68108</v>
      </c>
      <c r="I179" s="27">
        <v>0</v>
      </c>
      <c r="J179" s="27">
        <v>0</v>
      </c>
    </row>
    <row r="180" spans="1:11">
      <c r="A180" s="3" t="s">
        <v>160</v>
      </c>
      <c r="B180" s="9">
        <f t="shared" ref="B180:G180" si="45">((((B135)+(B146))+(B147))+(B178))+(B179)</f>
        <v>878082.40000000014</v>
      </c>
      <c r="C180" s="9">
        <f t="shared" si="45"/>
        <v>769587.26</v>
      </c>
      <c r="D180" s="9">
        <f t="shared" si="45"/>
        <v>1007209.48</v>
      </c>
      <c r="E180" s="9">
        <f t="shared" si="45"/>
        <v>412580.14</v>
      </c>
      <c r="F180" s="34">
        <f t="shared" si="45"/>
        <v>380732.25</v>
      </c>
      <c r="G180" s="34">
        <f t="shared" si="45"/>
        <v>398508.02999999997</v>
      </c>
      <c r="H180" s="9">
        <f t="shared" ref="H180" si="46">((((H135)+(H146))+(H147))+(H178))+(H179)</f>
        <v>409127.13</v>
      </c>
      <c r="I180" s="34">
        <f>((((I135)+(I146))+(I147))+(I178))+(I179)</f>
        <v>605767.60679999995</v>
      </c>
      <c r="J180" s="34">
        <f>((((J135)+(J146))+(J147))+(J178))+(J179)</f>
        <v>487543.56096000003</v>
      </c>
      <c r="K180" s="125" t="s">
        <v>213</v>
      </c>
    </row>
    <row r="181" spans="1:11">
      <c r="A181" s="3" t="s">
        <v>161</v>
      </c>
      <c r="B181" s="7"/>
      <c r="C181" s="7"/>
      <c r="D181" s="7"/>
      <c r="E181" s="36"/>
      <c r="F181" s="37"/>
      <c r="G181" s="37"/>
      <c r="H181" s="36"/>
      <c r="I181" s="57"/>
      <c r="J181" s="57"/>
    </row>
    <row r="182" spans="1:11" s="11" customFormat="1">
      <c r="A182" s="25" t="s">
        <v>162</v>
      </c>
      <c r="B182" s="27">
        <f>9114</f>
        <v>9114</v>
      </c>
      <c r="C182" s="27">
        <f>9114</f>
        <v>9114</v>
      </c>
      <c r="D182" s="27">
        <f>9384</f>
        <v>9384</v>
      </c>
      <c r="E182" s="27">
        <f>9384</f>
        <v>9384</v>
      </c>
      <c r="F182" s="27">
        <v>19867</v>
      </c>
      <c r="G182" s="27">
        <v>19867</v>
      </c>
      <c r="H182" s="8">
        <v>19867</v>
      </c>
      <c r="I182" s="27">
        <v>19867</v>
      </c>
      <c r="J182" s="8">
        <f>+I182</f>
        <v>19867</v>
      </c>
      <c r="K182" s="1" t="s">
        <v>343</v>
      </c>
    </row>
    <row r="183" spans="1:11">
      <c r="A183" s="3" t="s">
        <v>211</v>
      </c>
      <c r="B183" s="8">
        <v>0</v>
      </c>
      <c r="C183" s="8">
        <v>0</v>
      </c>
      <c r="D183" s="8">
        <v>0</v>
      </c>
      <c r="E183" s="8">
        <v>0</v>
      </c>
      <c r="F183" s="27">
        <v>5000</v>
      </c>
      <c r="G183" s="27">
        <v>5000</v>
      </c>
      <c r="H183" s="8">
        <v>5000</v>
      </c>
      <c r="I183" s="27">
        <v>5000</v>
      </c>
      <c r="J183" s="27">
        <v>5000</v>
      </c>
      <c r="K183" s="122" t="s">
        <v>337</v>
      </c>
    </row>
    <row r="184" spans="1:11">
      <c r="A184" s="3" t="s">
        <v>163</v>
      </c>
      <c r="B184" s="9">
        <f>+B182+B183</f>
        <v>9114</v>
      </c>
      <c r="C184" s="9">
        <f t="shared" ref="C184:F184" si="47">+C182+C183</f>
        <v>9114</v>
      </c>
      <c r="D184" s="9">
        <f t="shared" si="47"/>
        <v>9384</v>
      </c>
      <c r="E184" s="9">
        <f t="shared" si="47"/>
        <v>9384</v>
      </c>
      <c r="F184" s="34">
        <f t="shared" si="47"/>
        <v>24867</v>
      </c>
      <c r="G184" s="34">
        <f t="shared" ref="G184" si="48">+G182+G183</f>
        <v>24867</v>
      </c>
      <c r="H184" s="9">
        <f t="shared" ref="H184" si="49">+H182+H183</f>
        <v>24867</v>
      </c>
      <c r="I184" s="34">
        <f>SUM(I182:I183)</f>
        <v>24867</v>
      </c>
      <c r="J184" s="34">
        <f>SUM(J182:J183)</f>
        <v>24867</v>
      </c>
    </row>
    <row r="185" spans="1:11">
      <c r="A185" s="3" t="s">
        <v>164</v>
      </c>
      <c r="B185" s="7"/>
      <c r="C185" s="8">
        <f>267259.39</f>
        <v>267259.39</v>
      </c>
      <c r="D185" s="7"/>
      <c r="E185" s="7"/>
      <c r="F185" s="33"/>
      <c r="G185" s="33">
        <v>73970.94</v>
      </c>
      <c r="H185" s="7">
        <v>0</v>
      </c>
      <c r="I185" s="27">
        <v>0</v>
      </c>
      <c r="J185" s="27">
        <v>0</v>
      </c>
    </row>
    <row r="186" spans="1:11">
      <c r="A186" s="3" t="s">
        <v>165</v>
      </c>
      <c r="B186" s="7"/>
      <c r="C186" s="7"/>
      <c r="D186" s="8">
        <f>73611.34</f>
        <v>73611.34</v>
      </c>
      <c r="E186" s="7"/>
      <c r="F186" s="33"/>
      <c r="G186" s="33"/>
      <c r="H186" s="7"/>
      <c r="I186" s="27">
        <v>0</v>
      </c>
      <c r="J186" s="27">
        <v>0</v>
      </c>
    </row>
    <row r="187" spans="1:11">
      <c r="A187" s="3" t="s">
        <v>166</v>
      </c>
      <c r="B187" s="9">
        <f t="shared" ref="B187:F187" si="50">(B185)+(B186)</f>
        <v>0</v>
      </c>
      <c r="C187" s="9">
        <f t="shared" si="50"/>
        <v>267259.39</v>
      </c>
      <c r="D187" s="9">
        <f t="shared" si="50"/>
        <v>73611.34</v>
      </c>
      <c r="E187" s="9">
        <f t="shared" si="50"/>
        <v>0</v>
      </c>
      <c r="F187" s="34">
        <f t="shared" si="50"/>
        <v>0</v>
      </c>
      <c r="G187" s="34">
        <f t="shared" ref="G187" si="51">(G185)+(G186)</f>
        <v>73970.94</v>
      </c>
      <c r="H187" s="9">
        <f t="shared" ref="H187" si="52">(H185)+(H186)</f>
        <v>0</v>
      </c>
      <c r="I187" s="34">
        <v>68108</v>
      </c>
      <c r="J187" s="34">
        <f t="shared" ref="J187" si="53">(J185)+(J186)</f>
        <v>0</v>
      </c>
    </row>
    <row r="188" spans="1:11" ht="14.65" customHeight="1">
      <c r="A188" s="3" t="s">
        <v>167</v>
      </c>
      <c r="B188" s="113" t="s">
        <v>267</v>
      </c>
      <c r="C188" s="113"/>
      <c r="D188" s="113"/>
      <c r="E188" s="113"/>
      <c r="F188" s="113"/>
      <c r="G188" s="113"/>
      <c r="H188" s="113"/>
      <c r="I188" s="27"/>
      <c r="J188" s="27"/>
    </row>
    <row r="189" spans="1:11">
      <c r="A189" s="3" t="s">
        <v>168</v>
      </c>
      <c r="B189" s="47"/>
      <c r="C189" s="47"/>
      <c r="D189" s="47"/>
      <c r="E189" s="47"/>
      <c r="F189" s="47"/>
      <c r="G189" s="47"/>
      <c r="H189" s="47"/>
      <c r="I189" s="27"/>
      <c r="J189" s="27"/>
    </row>
    <row r="190" spans="1:11">
      <c r="A190" s="3" t="s">
        <v>169</v>
      </c>
      <c r="B190" s="48">
        <f>3644.69</f>
        <v>3644.69</v>
      </c>
      <c r="C190" s="48">
        <f>3143.68</f>
        <v>3143.68</v>
      </c>
      <c r="D190" s="48">
        <f>2637</f>
        <v>2637</v>
      </c>
      <c r="E190" s="48">
        <f>2116.9</f>
        <v>2116.9</v>
      </c>
      <c r="F190" s="48">
        <v>1579.4</v>
      </c>
      <c r="G190" s="48">
        <v>1017.23</v>
      </c>
      <c r="H190" s="48">
        <v>439.24</v>
      </c>
      <c r="I190" s="27">
        <v>18882.919999999998</v>
      </c>
      <c r="J190" s="27">
        <v>0</v>
      </c>
      <c r="K190" s="1" t="s">
        <v>291</v>
      </c>
    </row>
    <row r="191" spans="1:11">
      <c r="A191" s="3" t="s">
        <v>170</v>
      </c>
      <c r="B191" s="47"/>
      <c r="C191" s="48">
        <f>550</f>
        <v>550</v>
      </c>
      <c r="D191" s="48">
        <f>1701.25</f>
        <v>1701.25</v>
      </c>
      <c r="E191" s="48">
        <f>1472.36</f>
        <v>1472.36</v>
      </c>
      <c r="F191" s="48">
        <v>1318.23</v>
      </c>
      <c r="G191" s="48">
        <v>1153.1500000000001</v>
      </c>
      <c r="H191" s="65">
        <v>757.14</v>
      </c>
      <c r="I191" s="27">
        <v>8294.8799999999992</v>
      </c>
      <c r="J191" s="27">
        <f>691.24*12</f>
        <v>8294.880000000001</v>
      </c>
    </row>
    <row r="192" spans="1:11">
      <c r="A192" s="3" t="s">
        <v>171</v>
      </c>
      <c r="B192" s="48">
        <f t="shared" ref="B192:H192" si="54">13717.02</f>
        <v>13717.02</v>
      </c>
      <c r="C192" s="48">
        <f t="shared" si="54"/>
        <v>13717.02</v>
      </c>
      <c r="D192" s="48">
        <f t="shared" si="54"/>
        <v>13717.02</v>
      </c>
      <c r="E192" s="48">
        <f t="shared" si="54"/>
        <v>13717.02</v>
      </c>
      <c r="F192" s="48">
        <f t="shared" si="54"/>
        <v>13717.02</v>
      </c>
      <c r="G192" s="48">
        <v>13717.02</v>
      </c>
      <c r="H192" s="48">
        <f t="shared" si="54"/>
        <v>13717.02</v>
      </c>
      <c r="I192" s="27">
        <v>13717.02</v>
      </c>
      <c r="J192" s="27">
        <f>+I192</f>
        <v>13717.02</v>
      </c>
    </row>
    <row r="193" spans="1:14">
      <c r="A193" s="3" t="s">
        <v>172</v>
      </c>
      <c r="B193" s="49">
        <f>(((B189)+(B190))+(B191))+(B192)</f>
        <v>17361.71</v>
      </c>
      <c r="C193" s="49">
        <f t="shared" ref="C193:I193" si="55">(((C189)+(C190))+(C191))+(C192)</f>
        <v>17410.7</v>
      </c>
      <c r="D193" s="49">
        <f t="shared" si="55"/>
        <v>18055.27</v>
      </c>
      <c r="E193" s="49">
        <f t="shared" si="55"/>
        <v>17306.28</v>
      </c>
      <c r="F193" s="49">
        <f t="shared" si="55"/>
        <v>16614.650000000001</v>
      </c>
      <c r="G193" s="49">
        <f t="shared" ref="G193" si="56">(((G189)+(G190))+(G191))+(G192)</f>
        <v>15887.400000000001</v>
      </c>
      <c r="H193" s="49">
        <f t="shared" ref="H193" si="57">(((H189)+(H190))+(H191))+(H192)</f>
        <v>14913.400000000001</v>
      </c>
      <c r="I193" s="34">
        <f t="shared" si="55"/>
        <v>40894.819999999992</v>
      </c>
      <c r="J193" s="34">
        <f>(((J189)+(J190))+(J191))+(J192)</f>
        <v>22011.9</v>
      </c>
    </row>
    <row r="194" spans="1:14">
      <c r="A194" s="3" t="s">
        <v>212</v>
      </c>
      <c r="B194" s="50"/>
      <c r="C194" s="50"/>
      <c r="D194" s="50"/>
      <c r="E194" s="50"/>
      <c r="F194" s="50"/>
      <c r="G194" s="50"/>
      <c r="H194" s="50"/>
      <c r="I194" s="58">
        <v>9638</v>
      </c>
      <c r="J194" s="58">
        <f>+I194</f>
        <v>9638</v>
      </c>
    </row>
    <row r="195" spans="1:14">
      <c r="A195" s="3" t="s">
        <v>173</v>
      </c>
      <c r="B195" s="47"/>
      <c r="C195" s="47"/>
      <c r="D195" s="47"/>
      <c r="E195" s="47"/>
      <c r="F195" s="47"/>
      <c r="G195" s="47"/>
      <c r="H195" s="47"/>
      <c r="I195" s="27"/>
      <c r="J195" s="27"/>
      <c r="L195" s="38" t="s">
        <v>213</v>
      </c>
    </row>
    <row r="196" spans="1:14">
      <c r="A196" s="3" t="s">
        <v>174</v>
      </c>
      <c r="B196" s="47"/>
      <c r="C196" s="47"/>
      <c r="D196" s="48">
        <f>6690.57</f>
        <v>6690.57</v>
      </c>
      <c r="E196" s="47"/>
      <c r="F196" s="47"/>
      <c r="G196" s="47"/>
      <c r="H196" s="47"/>
      <c r="I196" s="27"/>
      <c r="J196" s="27"/>
    </row>
    <row r="197" spans="1:14">
      <c r="A197" s="3" t="s">
        <v>175</v>
      </c>
      <c r="B197" s="48">
        <f>3350.56</f>
        <v>3350.56</v>
      </c>
      <c r="C197" s="48">
        <f>2972.51</f>
        <v>2972.51</v>
      </c>
      <c r="D197" s="48">
        <f>2590.39</f>
        <v>2590.39</v>
      </c>
      <c r="E197" s="48">
        <f>2194.89</f>
        <v>2194.89</v>
      </c>
      <c r="F197" s="48">
        <v>1790.44</v>
      </c>
      <c r="G197" s="48">
        <v>1362.05</v>
      </c>
      <c r="H197" s="48">
        <v>923.56</v>
      </c>
      <c r="I197" s="27">
        <v>13890.33</v>
      </c>
      <c r="J197" s="27">
        <f>+I197</f>
        <v>13890.33</v>
      </c>
    </row>
    <row r="198" spans="1:14">
      <c r="A198" s="3" t="s">
        <v>176</v>
      </c>
      <c r="B198" s="47"/>
      <c r="C198" s="48">
        <f>24881.35</f>
        <v>24881.35</v>
      </c>
      <c r="D198" s="48">
        <f>13290.72</f>
        <v>13290.72</v>
      </c>
      <c r="E198" s="48">
        <f>10968.28</f>
        <v>10968.28</v>
      </c>
      <c r="F198" s="48">
        <v>9724.7199999999993</v>
      </c>
      <c r="G198" s="48">
        <v>8550.06</v>
      </c>
      <c r="H198" s="48">
        <v>5669.87</v>
      </c>
      <c r="I198" s="27">
        <v>39930.36</v>
      </c>
      <c r="J198" s="27">
        <f>+I198</f>
        <v>39930.36</v>
      </c>
    </row>
    <row r="199" spans="1:14">
      <c r="A199" s="3" t="s">
        <v>177</v>
      </c>
      <c r="B199" s="48">
        <f>29707.25</f>
        <v>29707.25</v>
      </c>
      <c r="C199" s="48">
        <f>28420.97</f>
        <v>28420.97</v>
      </c>
      <c r="D199" s="48">
        <f>27164.39</f>
        <v>27164.39</v>
      </c>
      <c r="E199" s="48">
        <f>25857.56</f>
        <v>25857.56</v>
      </c>
      <c r="F199" s="48">
        <v>24565.56</v>
      </c>
      <c r="G199" s="48">
        <v>23087.65</v>
      </c>
      <c r="H199" s="48">
        <v>21617.75</v>
      </c>
      <c r="I199" s="27">
        <v>59835.31</v>
      </c>
      <c r="J199" s="27">
        <f>+I199</f>
        <v>59835.31</v>
      </c>
    </row>
    <row r="200" spans="1:14">
      <c r="A200" s="3" t="s">
        <v>178</v>
      </c>
      <c r="B200" s="49">
        <f t="shared" ref="B200:I200" si="58">((((B195)+(B196))+(B197))+(B198))+(B199)</f>
        <v>33057.81</v>
      </c>
      <c r="C200" s="49">
        <f t="shared" si="58"/>
        <v>56274.83</v>
      </c>
      <c r="D200" s="49">
        <f t="shared" si="58"/>
        <v>49736.07</v>
      </c>
      <c r="E200" s="49">
        <f t="shared" si="58"/>
        <v>39020.730000000003</v>
      </c>
      <c r="F200" s="49">
        <f t="shared" si="58"/>
        <v>36080.720000000001</v>
      </c>
      <c r="G200" s="49">
        <f t="shared" ref="G200" si="59">((((G195)+(G196))+(G197))+(G198))+(G199)</f>
        <v>32999.760000000002</v>
      </c>
      <c r="H200" s="49">
        <f t="shared" ref="H200" si="60">((((H195)+(H196))+(H197))+(H198))+(H199)</f>
        <v>28211.18</v>
      </c>
      <c r="I200" s="34">
        <f t="shared" si="58"/>
        <v>113656</v>
      </c>
      <c r="J200" s="34">
        <f t="shared" ref="J200" si="61">((((J195)+(J196))+(J197))+(J198))+(J199)</f>
        <v>113656</v>
      </c>
    </row>
    <row r="201" spans="1:14">
      <c r="A201" s="3" t="s">
        <v>179</v>
      </c>
      <c r="B201" s="49">
        <f>(((B193))+(B200))</f>
        <v>50419.519999999997</v>
      </c>
      <c r="C201" s="49">
        <f t="shared" ref="C201:G201" si="62">((C188)+(C193))+(C200)</f>
        <v>73685.53</v>
      </c>
      <c r="D201" s="49">
        <f t="shared" si="62"/>
        <v>67791.34</v>
      </c>
      <c r="E201" s="49">
        <f t="shared" si="62"/>
        <v>56327.01</v>
      </c>
      <c r="F201" s="49">
        <f t="shared" si="62"/>
        <v>52695.37</v>
      </c>
      <c r="G201" s="49">
        <f t="shared" si="62"/>
        <v>48887.16</v>
      </c>
      <c r="H201" s="49">
        <f t="shared" ref="H201" si="63">((H188)+(H193))+(H200)</f>
        <v>43124.58</v>
      </c>
      <c r="I201" s="34">
        <f>((I188)+(I193))+(I200)+I194</f>
        <v>164188.82</v>
      </c>
      <c r="J201" s="34">
        <f>((J188)+(J193))+(J200)+J194</f>
        <v>145305.9</v>
      </c>
      <c r="K201" s="125" t="s">
        <v>213</v>
      </c>
    </row>
    <row r="202" spans="1:14">
      <c r="A202" s="3" t="s">
        <v>180</v>
      </c>
      <c r="B202" s="7"/>
      <c r="C202" s="7"/>
      <c r="D202" s="7"/>
      <c r="E202" s="7"/>
      <c r="F202" s="33"/>
      <c r="G202" s="33"/>
      <c r="H202" s="7"/>
      <c r="I202" s="27"/>
      <c r="J202" s="27"/>
    </row>
    <row r="203" spans="1:14">
      <c r="A203" s="3" t="s">
        <v>181</v>
      </c>
      <c r="B203" s="8">
        <f>622.9</f>
        <v>622.9</v>
      </c>
      <c r="C203" s="8">
        <f>2159.28</f>
        <v>2159.2800000000002</v>
      </c>
      <c r="D203" s="8">
        <f>6774</f>
        <v>6774</v>
      </c>
      <c r="E203" s="8">
        <f>502</f>
        <v>502</v>
      </c>
      <c r="F203" s="33"/>
      <c r="G203" s="33">
        <v>528</v>
      </c>
      <c r="H203" s="7"/>
      <c r="I203" s="27">
        <v>0</v>
      </c>
      <c r="J203" s="27">
        <v>0</v>
      </c>
    </row>
    <row r="204" spans="1:14">
      <c r="A204" s="3" t="s">
        <v>182</v>
      </c>
      <c r="B204" s="9">
        <f t="shared" ref="B204:G204" si="64">(B202)+(B203)</f>
        <v>622.9</v>
      </c>
      <c r="C204" s="9">
        <f t="shared" si="64"/>
        <v>2159.2800000000002</v>
      </c>
      <c r="D204" s="9">
        <f t="shared" si="64"/>
        <v>6774</v>
      </c>
      <c r="E204" s="9">
        <f t="shared" si="64"/>
        <v>502</v>
      </c>
      <c r="F204" s="34">
        <f t="shared" si="64"/>
        <v>0</v>
      </c>
      <c r="G204" s="34">
        <f t="shared" si="64"/>
        <v>528</v>
      </c>
      <c r="H204" s="9">
        <f t="shared" ref="H204" si="65">(H202)+(H203)</f>
        <v>0</v>
      </c>
      <c r="I204" s="34">
        <f>+I203</f>
        <v>0</v>
      </c>
      <c r="J204" s="34">
        <f>+J203</f>
        <v>0</v>
      </c>
    </row>
    <row r="205" spans="1:14" ht="28.5">
      <c r="A205" s="3" t="s">
        <v>183</v>
      </c>
      <c r="B205" s="8">
        <f>9084.05</f>
        <v>9084.0499999999993</v>
      </c>
      <c r="C205" s="8">
        <f>7577.62</f>
        <v>7577.62</v>
      </c>
      <c r="D205" s="8">
        <f>6073.69</f>
        <v>6073.69</v>
      </c>
      <c r="E205" s="8">
        <f>15346.97</f>
        <v>15346.97</v>
      </c>
      <c r="F205" s="27">
        <v>66414.97</v>
      </c>
      <c r="G205" s="27">
        <v>10849.82</v>
      </c>
      <c r="H205" s="8">
        <v>8298.0499999999993</v>
      </c>
      <c r="I205" s="27">
        <v>16170</v>
      </c>
      <c r="J205" s="110">
        <v>12500</v>
      </c>
      <c r="K205" s="128" t="s">
        <v>357</v>
      </c>
      <c r="L205" s="111"/>
      <c r="M205" s="111"/>
    </row>
    <row r="206" spans="1:14">
      <c r="A206" s="3" t="s">
        <v>184</v>
      </c>
      <c r="B206" s="7"/>
      <c r="C206" s="7"/>
      <c r="D206" s="7"/>
      <c r="E206" s="7"/>
      <c r="F206" s="33"/>
      <c r="G206" s="33"/>
      <c r="H206" s="7"/>
      <c r="I206" s="27"/>
      <c r="J206" s="27"/>
    </row>
    <row r="207" spans="1:14">
      <c r="A207" s="3" t="s">
        <v>185</v>
      </c>
      <c r="B207" s="8">
        <f>5378.83</f>
        <v>5378.83</v>
      </c>
      <c r="C207" s="7"/>
      <c r="D207" s="7"/>
      <c r="E207" s="7"/>
      <c r="F207" s="33">
        <v>265955.26</v>
      </c>
      <c r="G207" s="33">
        <v>37776.22</v>
      </c>
      <c r="H207" s="7">
        <v>0</v>
      </c>
      <c r="I207" s="27">
        <v>0</v>
      </c>
      <c r="J207" s="27">
        <v>0</v>
      </c>
      <c r="K207" s="1" t="s">
        <v>213</v>
      </c>
    </row>
    <row r="208" spans="1:14">
      <c r="A208" s="3" t="s">
        <v>186</v>
      </c>
      <c r="B208" s="8">
        <f>1501.17</f>
        <v>1501.17</v>
      </c>
      <c r="C208" s="8">
        <f>2472</f>
        <v>2472</v>
      </c>
      <c r="D208" s="8">
        <f>5216.36</f>
        <v>5216.3599999999997</v>
      </c>
      <c r="E208" s="8">
        <f>5359.83</f>
        <v>5359.83</v>
      </c>
      <c r="F208" s="27">
        <v>5287.74</v>
      </c>
      <c r="G208" s="27">
        <v>5962.48</v>
      </c>
      <c r="H208" s="8">
        <v>4445.8999999999996</v>
      </c>
      <c r="I208" s="27">
        <v>7369.93</v>
      </c>
      <c r="J208" s="8">
        <f>+I208*1.03</f>
        <v>7591.0279</v>
      </c>
      <c r="K208" s="1" t="s">
        <v>344</v>
      </c>
      <c r="N208" s="11" t="s">
        <v>213</v>
      </c>
    </row>
    <row r="209" spans="1:14">
      <c r="A209" s="3" t="s">
        <v>187</v>
      </c>
      <c r="B209" s="8">
        <f>4835.73</f>
        <v>4835.7299999999996</v>
      </c>
      <c r="C209" s="8">
        <f>5263.46</f>
        <v>5263.46</v>
      </c>
      <c r="D209" s="8">
        <f>5956.01</f>
        <v>5956.01</v>
      </c>
      <c r="E209" s="8">
        <f>5179.99</f>
        <v>5179.99</v>
      </c>
      <c r="F209" s="27">
        <v>6379.57</v>
      </c>
      <c r="G209" s="27">
        <v>6452.62</v>
      </c>
      <c r="H209" s="8">
        <v>6688.15</v>
      </c>
      <c r="I209" s="27">
        <v>8000</v>
      </c>
      <c r="J209" s="8">
        <v>8000</v>
      </c>
      <c r="K209" s="1" t="s">
        <v>292</v>
      </c>
      <c r="N209" s="11" t="s">
        <v>213</v>
      </c>
    </row>
    <row r="210" spans="1:14">
      <c r="A210" s="3" t="s">
        <v>188</v>
      </c>
      <c r="B210" s="8">
        <f>860.46</f>
        <v>860.46</v>
      </c>
      <c r="C210" s="8">
        <f>1204.13</f>
        <v>1204.1300000000001</v>
      </c>
      <c r="D210" s="8">
        <f>1182.62</f>
        <v>1182.6199999999999</v>
      </c>
      <c r="E210" s="8">
        <f>3675.18</f>
        <v>3675.18</v>
      </c>
      <c r="F210" s="27">
        <v>4573.51</v>
      </c>
      <c r="G210" s="27">
        <v>4179.46</v>
      </c>
      <c r="H210" s="8">
        <v>2515.13</v>
      </c>
      <c r="I210" s="27">
        <v>4466.8</v>
      </c>
      <c r="J210" s="8">
        <f>+I210*1.03</f>
        <v>4600.8040000000001</v>
      </c>
      <c r="K210" s="1" t="s">
        <v>344</v>
      </c>
      <c r="N210" s="11" t="s">
        <v>213</v>
      </c>
    </row>
    <row r="211" spans="1:14">
      <c r="A211" s="3" t="s">
        <v>189</v>
      </c>
      <c r="B211" s="8">
        <f>2993.72</f>
        <v>2993.72</v>
      </c>
      <c r="C211" s="8">
        <f>2970.92</f>
        <v>2970.92</v>
      </c>
      <c r="D211" s="8">
        <f>3015.23</f>
        <v>3015.23</v>
      </c>
      <c r="E211" s="8">
        <f>3133.3</f>
        <v>3133.3</v>
      </c>
      <c r="F211" s="27">
        <v>3207.6</v>
      </c>
      <c r="G211" s="27">
        <v>3433.4</v>
      </c>
      <c r="H211" s="8">
        <v>2315.94</v>
      </c>
      <c r="I211" s="27">
        <v>3933</v>
      </c>
      <c r="J211" s="8">
        <f>+I211*1.03</f>
        <v>4050.9900000000002</v>
      </c>
      <c r="K211" s="1" t="s">
        <v>344</v>
      </c>
      <c r="N211" s="11" t="s">
        <v>213</v>
      </c>
    </row>
    <row r="212" spans="1:14">
      <c r="A212" s="3" t="s">
        <v>190</v>
      </c>
      <c r="B212" s="8">
        <f>200</f>
        <v>200</v>
      </c>
      <c r="C212" s="8">
        <f>230</f>
        <v>230</v>
      </c>
      <c r="D212" s="7"/>
      <c r="E212" s="8">
        <f>550</f>
        <v>550</v>
      </c>
      <c r="F212" s="27">
        <f>150</f>
        <v>150</v>
      </c>
      <c r="G212" s="27">
        <v>215</v>
      </c>
      <c r="H212" s="8">
        <v>410</v>
      </c>
      <c r="I212" s="27">
        <v>500</v>
      </c>
      <c r="J212" s="27">
        <v>500</v>
      </c>
    </row>
    <row r="213" spans="1:14">
      <c r="A213" s="3" t="s">
        <v>191</v>
      </c>
      <c r="B213" s="8">
        <f>1675.45</f>
        <v>1675.45</v>
      </c>
      <c r="C213" s="7"/>
      <c r="D213" s="7"/>
      <c r="E213" s="7"/>
      <c r="F213" s="33"/>
      <c r="G213" s="33"/>
      <c r="H213" s="7"/>
      <c r="I213" s="27">
        <v>0</v>
      </c>
      <c r="J213" s="27">
        <v>0</v>
      </c>
    </row>
    <row r="214" spans="1:14">
      <c r="A214" s="3" t="s">
        <v>192</v>
      </c>
      <c r="B214" s="8">
        <f>2998.31</f>
        <v>2998.31</v>
      </c>
      <c r="C214" s="8">
        <f>3474.14</f>
        <v>3474.14</v>
      </c>
      <c r="D214" s="8">
        <f>4102.33</f>
        <v>4102.33</v>
      </c>
      <c r="E214" s="8">
        <f>4359.86</f>
        <v>4359.8599999999997</v>
      </c>
      <c r="F214" s="27">
        <v>4439.3</v>
      </c>
      <c r="G214" s="27">
        <v>4586.63</v>
      </c>
      <c r="H214" s="8">
        <v>2871.81</v>
      </c>
      <c r="I214" s="27">
        <v>5250</v>
      </c>
      <c r="J214" s="32">
        <v>5250</v>
      </c>
      <c r="L214" s="11" t="s">
        <v>213</v>
      </c>
    </row>
    <row r="215" spans="1:14">
      <c r="A215" s="3" t="s">
        <v>193</v>
      </c>
      <c r="B215" s="9">
        <f t="shared" ref="B215:F215" si="66">((((((((B206)+(B207))+(B208))+(B209))+(B210))+(B211))+(B212))+(B213))+(B214)</f>
        <v>20443.669999999998</v>
      </c>
      <c r="C215" s="9">
        <f t="shared" si="66"/>
        <v>15614.65</v>
      </c>
      <c r="D215" s="9">
        <f t="shared" si="66"/>
        <v>19472.549999999996</v>
      </c>
      <c r="E215" s="9">
        <f t="shared" si="66"/>
        <v>22258.16</v>
      </c>
      <c r="F215" s="34">
        <f t="shared" si="66"/>
        <v>289992.98</v>
      </c>
      <c r="G215" s="34">
        <f t="shared" ref="G215:H215" si="67">((((((((G206)+(G207))+(G208))+(G209))+(G210))+(G211))+(G212))+(G213))+(G214)</f>
        <v>62605.81</v>
      </c>
      <c r="H215" s="9">
        <f t="shared" si="67"/>
        <v>19246.93</v>
      </c>
      <c r="I215" s="34">
        <f>((((((((I206)+(I207))+(I208))+(I209))+(I210))+(I211))+(I212))+(I213))+(I214)</f>
        <v>29519.73</v>
      </c>
      <c r="J215" s="34">
        <f>((((((((J206)+(J207))+(J208))+(J209))+(J210))+(J211))+(J212))+(J213))+(J214)</f>
        <v>29992.821900000003</v>
      </c>
      <c r="K215" s="112"/>
    </row>
    <row r="216" spans="1:14">
      <c r="A216" s="3" t="s">
        <v>194</v>
      </c>
      <c r="B216" s="7"/>
      <c r="C216" s="7"/>
      <c r="D216" s="7"/>
      <c r="E216" s="8">
        <f>500</f>
        <v>500</v>
      </c>
      <c r="F216" s="33"/>
      <c r="G216" s="33"/>
      <c r="H216" s="7"/>
      <c r="I216" s="27"/>
      <c r="J216" s="27"/>
    </row>
    <row r="217" spans="1:14">
      <c r="A217" s="3" t="s">
        <v>195</v>
      </c>
      <c r="B217" s="7"/>
      <c r="C217" s="7"/>
      <c r="D217" s="7"/>
      <c r="E217" s="8"/>
      <c r="F217" s="33"/>
      <c r="G217" s="33"/>
      <c r="H217" s="7"/>
      <c r="I217" s="27"/>
      <c r="J217" s="27"/>
    </row>
    <row r="218" spans="1:14">
      <c r="A218" s="3" t="s">
        <v>196</v>
      </c>
      <c r="B218" s="7"/>
      <c r="C218" s="7"/>
      <c r="D218" s="7"/>
      <c r="E218" s="7"/>
      <c r="F218" s="33"/>
      <c r="G218" s="33"/>
      <c r="H218" s="7"/>
      <c r="I218" s="27"/>
      <c r="J218" s="27"/>
      <c r="L218" s="38"/>
    </row>
    <row r="219" spans="1:14">
      <c r="A219" s="3" t="s">
        <v>197</v>
      </c>
      <c r="B219" s="8">
        <f>23029.08</f>
        <v>23029.08</v>
      </c>
      <c r="C219" s="8">
        <f>30494</f>
        <v>30494</v>
      </c>
      <c r="D219" s="8">
        <f>31407.8</f>
        <v>31407.8</v>
      </c>
      <c r="E219" s="8">
        <f>35039.4</f>
        <v>35039.4</v>
      </c>
      <c r="F219" s="27">
        <v>37796.92</v>
      </c>
      <c r="G219" s="27">
        <v>37326.839999999997</v>
      </c>
      <c r="H219" s="8">
        <v>24504.48</v>
      </c>
      <c r="I219" s="27">
        <v>44700</v>
      </c>
      <c r="J219" s="8">
        <f>+'Trash &amp; Recycling'!O6</f>
        <v>25695</v>
      </c>
      <c r="L219" s="38"/>
    </row>
    <row r="220" spans="1:14">
      <c r="A220" s="3" t="s">
        <v>198</v>
      </c>
      <c r="B220" s="8">
        <f>55506.6</f>
        <v>55506.6</v>
      </c>
      <c r="C220" s="8">
        <f>58100</f>
        <v>58100</v>
      </c>
      <c r="D220" s="8">
        <f>61775</f>
        <v>61775</v>
      </c>
      <c r="E220" s="8">
        <f>65880</f>
        <v>65880</v>
      </c>
      <c r="F220" s="27">
        <v>67426.8</v>
      </c>
      <c r="G220" s="27">
        <v>69094.8</v>
      </c>
      <c r="H220" s="8">
        <v>52815.6</v>
      </c>
      <c r="I220" s="27">
        <v>84027.83</v>
      </c>
      <c r="J220" s="8">
        <f>+'Trash &amp; Recycling'!O5</f>
        <v>77085</v>
      </c>
    </row>
    <row r="221" spans="1:14">
      <c r="A221" s="3" t="s">
        <v>199</v>
      </c>
      <c r="B221" s="9">
        <f t="shared" ref="B221:F221" si="68">((B218)+(B219))+(B220)</f>
        <v>78535.679999999993</v>
      </c>
      <c r="C221" s="9">
        <f t="shared" si="68"/>
        <v>88594</v>
      </c>
      <c r="D221" s="9">
        <f t="shared" si="68"/>
        <v>93182.8</v>
      </c>
      <c r="E221" s="9">
        <f t="shared" si="68"/>
        <v>100919.4</v>
      </c>
      <c r="F221" s="9">
        <f t="shared" si="68"/>
        <v>105223.72</v>
      </c>
      <c r="G221" s="34">
        <f>SUM(G218:G220)</f>
        <v>106421.64</v>
      </c>
      <c r="H221" s="9">
        <f>SUM(H218:H220)</f>
        <v>77320.08</v>
      </c>
      <c r="I221" s="34">
        <f>SUM(I219:I220)</f>
        <v>128727.83</v>
      </c>
      <c r="J221" s="9">
        <f>SUM(J219:J220)</f>
        <v>102780</v>
      </c>
      <c r="K221" s="1" t="s">
        <v>336</v>
      </c>
    </row>
    <row r="222" spans="1:14">
      <c r="A222" s="3" t="s">
        <v>200</v>
      </c>
      <c r="B222" s="41">
        <f t="shared" ref="B222:J222" si="69">(((((((((((B115)+(B134))+(B180))+(B184))+(B187))+(B201))+(B204))+(B205))+(B215))+(B216))+(B217))+(B221)</f>
        <v>1300419</v>
      </c>
      <c r="C222" s="41">
        <f t="shared" si="69"/>
        <v>1507850.77</v>
      </c>
      <c r="D222" s="41">
        <f t="shared" si="69"/>
        <v>1565627.06</v>
      </c>
      <c r="E222" s="41">
        <f t="shared" si="69"/>
        <v>971751.71000000008</v>
      </c>
      <c r="F222" s="42">
        <f t="shared" si="69"/>
        <v>1283769.24</v>
      </c>
      <c r="G222" s="42">
        <f t="shared" si="69"/>
        <v>1129012.0499999998</v>
      </c>
      <c r="H222" s="76">
        <f t="shared" ref="H222" si="70">(((((((((((H115)+(H134))+(H180))+(H184))+(H187))+(H201))+(H204))+(H205))+(H215))+(H216))+(H217))+(H221)</f>
        <v>904908.95000000007</v>
      </c>
      <c r="I222" s="42">
        <f t="shared" si="69"/>
        <v>1576741.1368000002</v>
      </c>
      <c r="J222" s="42">
        <f t="shared" si="69"/>
        <v>1282457.1888600001</v>
      </c>
      <c r="K222" s="125"/>
      <c r="L222" s="38"/>
    </row>
    <row r="223" spans="1:14">
      <c r="A223" s="3" t="s">
        <v>201</v>
      </c>
      <c r="B223" s="43">
        <f t="shared" ref="B223:G223" si="71">(B60)-(B222)</f>
        <v>-346565.4800000001</v>
      </c>
      <c r="C223" s="43">
        <f t="shared" si="71"/>
        <v>-258909.01000000024</v>
      </c>
      <c r="D223" s="41">
        <f t="shared" si="71"/>
        <v>1468791.3399999999</v>
      </c>
      <c r="E223" s="41">
        <f t="shared" si="71"/>
        <v>153806.35999999999</v>
      </c>
      <c r="F223" s="42">
        <f t="shared" si="71"/>
        <v>229145.88000000012</v>
      </c>
      <c r="G223" s="42">
        <f t="shared" si="71"/>
        <v>175826.66999999993</v>
      </c>
      <c r="H223" s="76">
        <f t="shared" ref="H223" si="72">(H60)-(H222)</f>
        <v>446398.99999999988</v>
      </c>
      <c r="I223" s="42">
        <f>(I60)-(I222)+0.01</f>
        <v>3.1999996770173313E-3</v>
      </c>
      <c r="J223" s="42">
        <f>(J60)-(J222)+0.01</f>
        <v>32486.951139999775</v>
      </c>
      <c r="K223" s="125"/>
    </row>
    <row r="224" spans="1:14">
      <c r="A224" s="3" t="s">
        <v>202</v>
      </c>
      <c r="B224" s="7"/>
      <c r="C224" s="7"/>
      <c r="D224" s="7"/>
      <c r="E224" s="7"/>
      <c r="F224" s="33"/>
      <c r="G224" s="33"/>
      <c r="H224" s="7"/>
      <c r="I224" s="33"/>
      <c r="J224" s="33"/>
    </row>
    <row r="225" spans="1:11">
      <c r="A225" s="3" t="s">
        <v>203</v>
      </c>
      <c r="B225" s="7"/>
      <c r="C225" s="8">
        <f>6995</f>
        <v>6995</v>
      </c>
      <c r="D225" s="8">
        <f>28608.23</f>
        <v>28608.23</v>
      </c>
      <c r="E225" s="8">
        <f>57254.34</f>
        <v>57254.34</v>
      </c>
      <c r="F225" s="27">
        <v>72481.759999999995</v>
      </c>
      <c r="G225" s="27">
        <v>0</v>
      </c>
      <c r="H225" s="8">
        <v>0</v>
      </c>
      <c r="I225" s="27">
        <v>0</v>
      </c>
      <c r="J225" s="27">
        <v>0</v>
      </c>
      <c r="K225" s="1" t="s">
        <v>213</v>
      </c>
    </row>
    <row r="226" spans="1:11">
      <c r="A226" s="3" t="s">
        <v>204</v>
      </c>
      <c r="B226" s="9">
        <f t="shared" ref="B226:I226" si="73">B225</f>
        <v>0</v>
      </c>
      <c r="C226" s="9">
        <f t="shared" si="73"/>
        <v>6995</v>
      </c>
      <c r="D226" s="9">
        <f t="shared" si="73"/>
        <v>28608.23</v>
      </c>
      <c r="E226" s="9">
        <f t="shared" si="73"/>
        <v>57254.34</v>
      </c>
      <c r="F226" s="34">
        <f t="shared" si="73"/>
        <v>72481.759999999995</v>
      </c>
      <c r="G226" s="34">
        <f t="shared" ref="G226" si="74">G225</f>
        <v>0</v>
      </c>
      <c r="H226" s="9">
        <f t="shared" ref="H226" si="75">H225</f>
        <v>0</v>
      </c>
      <c r="I226" s="34">
        <f t="shared" si="73"/>
        <v>0</v>
      </c>
      <c r="J226" s="34">
        <f t="shared" ref="J226" si="76">J225</f>
        <v>0</v>
      </c>
    </row>
    <row r="227" spans="1:11">
      <c r="A227" s="3" t="s">
        <v>205</v>
      </c>
      <c r="B227" s="9">
        <f t="shared" ref="B227:I227" si="77">(0)-(B226)</f>
        <v>0</v>
      </c>
      <c r="C227" s="9">
        <f t="shared" si="77"/>
        <v>-6995</v>
      </c>
      <c r="D227" s="9">
        <f t="shared" si="77"/>
        <v>-28608.23</v>
      </c>
      <c r="E227" s="9">
        <f t="shared" si="77"/>
        <v>-57254.34</v>
      </c>
      <c r="F227" s="34">
        <f t="shared" si="77"/>
        <v>-72481.759999999995</v>
      </c>
      <c r="G227" s="34">
        <f t="shared" ref="G227" si="78">(0)-(G226)</f>
        <v>0</v>
      </c>
      <c r="H227" s="9">
        <f t="shared" ref="H227" si="79">(0)-(H226)</f>
        <v>0</v>
      </c>
      <c r="I227" s="34">
        <f t="shared" si="77"/>
        <v>0</v>
      </c>
      <c r="J227" s="34">
        <f t="shared" ref="J227" si="80">(0)-(J226)</f>
        <v>0</v>
      </c>
    </row>
    <row r="228" spans="1:11">
      <c r="A228" s="3" t="s">
        <v>206</v>
      </c>
      <c r="B228" s="44">
        <f t="shared" ref="B228:I228" si="81">(B223)+(B227)</f>
        <v>-346565.4800000001</v>
      </c>
      <c r="C228" s="44">
        <f t="shared" si="81"/>
        <v>-265904.01000000024</v>
      </c>
      <c r="D228" s="45">
        <f t="shared" si="81"/>
        <v>1440183.1099999999</v>
      </c>
      <c r="E228" s="45">
        <f t="shared" si="81"/>
        <v>96552.01999999999</v>
      </c>
      <c r="F228" s="46">
        <f t="shared" si="81"/>
        <v>156664.12000000011</v>
      </c>
      <c r="G228" s="46">
        <f>+G223-G227</f>
        <v>175826.66999999993</v>
      </c>
      <c r="H228" s="45">
        <f>+H223-H227</f>
        <v>446398.99999999988</v>
      </c>
      <c r="I228" s="46">
        <f t="shared" si="81"/>
        <v>3.1999996770173313E-3</v>
      </c>
      <c r="J228" s="46">
        <f t="shared" ref="J228" si="82">(J223)+(J227)</f>
        <v>32486.951139999775</v>
      </c>
    </row>
    <row r="229" spans="1:11">
      <c r="A229" s="3"/>
      <c r="B229" s="7"/>
      <c r="C229" s="7"/>
      <c r="D229" s="7"/>
      <c r="E229" s="7"/>
      <c r="F229" s="33"/>
      <c r="G229" s="33"/>
      <c r="H229" s="7"/>
      <c r="I229" s="33"/>
      <c r="J229" s="33"/>
    </row>
    <row r="230" spans="1:11">
      <c r="B230" s="24"/>
      <c r="C230" s="24"/>
      <c r="D230" s="24"/>
      <c r="E230" s="24"/>
      <c r="F230" s="38"/>
      <c r="G230" s="38"/>
      <c r="H230" s="24"/>
      <c r="I230" s="38" t="s">
        <v>213</v>
      </c>
      <c r="J230" s="38"/>
    </row>
    <row r="231" spans="1:11">
      <c r="B231" s="24"/>
      <c r="C231" s="24"/>
      <c r="D231" s="24"/>
      <c r="E231" s="24"/>
      <c r="F231" s="38"/>
      <c r="G231" s="38"/>
      <c r="H231" s="24"/>
      <c r="I231" s="38" t="s">
        <v>213</v>
      </c>
      <c r="J231" s="38"/>
    </row>
    <row r="232" spans="1:11">
      <c r="B232" s="24"/>
      <c r="C232" s="24"/>
      <c r="D232" s="24"/>
      <c r="E232" s="24"/>
      <c r="F232" s="38"/>
      <c r="G232" s="38"/>
      <c r="H232" s="24"/>
      <c r="I232" s="38"/>
      <c r="J232" s="38"/>
    </row>
  </sheetData>
  <mergeCells count="9">
    <mergeCell ref="B188:H188"/>
    <mergeCell ref="K104:O104"/>
    <mergeCell ref="K76:M76"/>
    <mergeCell ref="A1:G1"/>
    <mergeCell ref="A2:G2"/>
    <mergeCell ref="A3:G3"/>
    <mergeCell ref="K92:O92"/>
    <mergeCell ref="K103:O103"/>
    <mergeCell ref="K94:O94"/>
  </mergeCells>
  <pageMargins left="0.25" right="0.25" top="0.75" bottom="0.75" header="0.3" footer="0.3"/>
  <pageSetup paperSize="5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="120" zoomScaleNormal="120" workbookViewId="0">
      <selection activeCell="C26" sqref="C26"/>
    </sheetView>
  </sheetViews>
  <sheetFormatPr defaultRowHeight="14.25"/>
  <cols>
    <col min="2" max="2" width="49.25" customWidth="1"/>
    <col min="3" max="3" width="11.125" style="11" bestFit="1" customWidth="1"/>
    <col min="4" max="4" width="2.25" style="11" customWidth="1"/>
    <col min="5" max="5" width="18.125" style="11" bestFit="1" customWidth="1"/>
    <col min="6" max="6" width="2" style="11" customWidth="1"/>
    <col min="8" max="8" width="1.75" customWidth="1"/>
    <col min="9" max="9" width="11.5" bestFit="1" customWidth="1"/>
    <col min="10" max="10" width="28.875" bestFit="1" customWidth="1"/>
    <col min="11" max="11" width="9.125" customWidth="1"/>
    <col min="12" max="12" width="10.875" customWidth="1"/>
    <col min="13" max="13" width="9.125" style="10" customWidth="1"/>
    <col min="14" max="23" width="9.125" customWidth="1"/>
  </cols>
  <sheetData>
    <row r="1" spans="1:14" ht="15">
      <c r="B1" s="13" t="s">
        <v>217</v>
      </c>
    </row>
    <row r="2" spans="1:14" ht="15">
      <c r="E2" s="106" t="s">
        <v>350</v>
      </c>
    </row>
    <row r="3" spans="1:14" ht="15">
      <c r="C3" s="66">
        <v>2027</v>
      </c>
      <c r="D3" s="66"/>
      <c r="E3" s="66">
        <v>2026</v>
      </c>
      <c r="F3" s="74"/>
      <c r="G3" s="13" t="s">
        <v>218</v>
      </c>
      <c r="H3" s="13"/>
      <c r="I3" s="13" t="s">
        <v>219</v>
      </c>
    </row>
    <row r="4" spans="1:14" ht="15.75" thickBot="1">
      <c r="C4" s="67" t="s">
        <v>220</v>
      </c>
      <c r="D4" s="66"/>
      <c r="E4" s="67" t="s">
        <v>220</v>
      </c>
      <c r="F4" s="74"/>
      <c r="G4" s="14" t="s">
        <v>221</v>
      </c>
      <c r="H4" s="13"/>
      <c r="I4" s="14" t="s">
        <v>221</v>
      </c>
    </row>
    <row r="5" spans="1:14" ht="15">
      <c r="A5" s="13" t="s">
        <v>222</v>
      </c>
    </row>
    <row r="6" spans="1:14">
      <c r="B6" t="s">
        <v>223</v>
      </c>
      <c r="C6" s="68">
        <f>+'2027 Budget -Draft'!J13</f>
        <v>785987.9</v>
      </c>
      <c r="E6" s="71">
        <f>+'2027 Budget -Draft'!I9</f>
        <v>844479.52</v>
      </c>
      <c r="G6" s="93">
        <f>+(C6-E6)/C6</f>
        <v>-7.4417964958493621E-2</v>
      </c>
      <c r="I6" s="107">
        <f>+C6-E6</f>
        <v>-58491.619999999995</v>
      </c>
      <c r="J6" t="s">
        <v>298</v>
      </c>
    </row>
    <row r="7" spans="1:14">
      <c r="B7" t="s">
        <v>224</v>
      </c>
      <c r="C7" s="69">
        <f>+'2027 Budget -Draft'!J56</f>
        <v>97036.29</v>
      </c>
      <c r="E7" s="69">
        <f>+'2027 Budget -Draft'!I56</f>
        <v>95898.16</v>
      </c>
      <c r="G7" s="93">
        <f t="shared" ref="G7:G13" si="0">+(C7-E7)/C7</f>
        <v>1.1728910905394159E-2</v>
      </c>
      <c r="I7" s="107">
        <f t="shared" ref="I7:I17" si="1">+C7-E7</f>
        <v>1138.1299999999901</v>
      </c>
    </row>
    <row r="8" spans="1:14">
      <c r="B8" t="s">
        <v>225</v>
      </c>
      <c r="C8" s="69">
        <f>+'2027 Budget -Draft'!J57</f>
        <v>135960.9</v>
      </c>
      <c r="D8" s="11" t="s">
        <v>213</v>
      </c>
      <c r="E8" s="69">
        <f>+'2027 Budget -Draft'!I57</f>
        <v>123230.9</v>
      </c>
      <c r="G8" s="93">
        <f t="shared" si="0"/>
        <v>9.3629859761151929E-2</v>
      </c>
      <c r="I8" s="107">
        <f t="shared" si="1"/>
        <v>12730</v>
      </c>
    </row>
    <row r="9" spans="1:14">
      <c r="B9" t="s">
        <v>226</v>
      </c>
      <c r="C9" s="69">
        <f>+'2027 Budget -Draft'!J28-'2027 Budget -Draft'!J27</f>
        <v>33909.229999999996</v>
      </c>
      <c r="E9" s="69">
        <f>+'2027 Budget -Draft'!I28-'2027 Budget -Draft'!I27</f>
        <v>29240.709999999992</v>
      </c>
      <c r="G9" s="93">
        <f t="shared" si="0"/>
        <v>0.13767696877811747</v>
      </c>
      <c r="I9" s="107">
        <f>+C9-E9</f>
        <v>4668.5200000000041</v>
      </c>
    </row>
    <row r="10" spans="1:14">
      <c r="B10" t="s">
        <v>227</v>
      </c>
      <c r="C10" s="69">
        <f>+'2027 Budget -Draft'!J27</f>
        <v>86508.84</v>
      </c>
      <c r="E10" s="69">
        <f>+'2027 Budget -Draft'!I27</f>
        <v>86508.84</v>
      </c>
      <c r="G10" s="93">
        <f t="shared" si="0"/>
        <v>0</v>
      </c>
      <c r="I10" s="107">
        <f t="shared" si="1"/>
        <v>0</v>
      </c>
    </row>
    <row r="11" spans="1:14">
      <c r="B11" t="s">
        <v>228</v>
      </c>
      <c r="C11" s="69">
        <f>+'2027 Budget -Draft'!J58</f>
        <v>15000</v>
      </c>
      <c r="E11" s="69">
        <f>+'2027 Budget -Draft'!I58</f>
        <v>14000</v>
      </c>
      <c r="G11" s="93">
        <f t="shared" si="0"/>
        <v>6.6666666666666666E-2</v>
      </c>
      <c r="I11" s="107">
        <f t="shared" si="1"/>
        <v>1000</v>
      </c>
      <c r="J11" t="s">
        <v>213</v>
      </c>
    </row>
    <row r="12" spans="1:14">
      <c r="B12" t="s">
        <v>229</v>
      </c>
      <c r="C12" s="69">
        <f>+'2027 Budget -Draft'!J36</f>
        <v>7700</v>
      </c>
      <c r="E12" s="69">
        <f>+'2027 Budget -Draft'!I36</f>
        <v>7300</v>
      </c>
      <c r="G12" s="93">
        <f t="shared" si="0"/>
        <v>5.1948051948051951E-2</v>
      </c>
      <c r="I12" s="107">
        <f>+C12-E12</f>
        <v>400</v>
      </c>
    </row>
    <row r="13" spans="1:14">
      <c r="B13" t="s">
        <v>268</v>
      </c>
      <c r="C13" s="69">
        <f>+'2027 Budget -Draft'!J47</f>
        <v>1500</v>
      </c>
      <c r="E13" s="69">
        <f>+'2027 Budget -Draft'!I46</f>
        <v>1500</v>
      </c>
      <c r="G13" s="93">
        <f t="shared" si="0"/>
        <v>0</v>
      </c>
      <c r="I13" s="107">
        <f>+C13-E13</f>
        <v>0</v>
      </c>
    </row>
    <row r="14" spans="1:14" ht="15" thickBot="1">
      <c r="B14" t="s">
        <v>230</v>
      </c>
      <c r="C14" s="70">
        <f>+'2027 Budget -Draft'!J43</f>
        <v>45900</v>
      </c>
      <c r="E14" s="70">
        <f>+'2027 Budget -Draft'!I43</f>
        <v>45500</v>
      </c>
      <c r="G14" s="108">
        <f>+(C14-E14)/C14</f>
        <v>8.7145969498910684E-3</v>
      </c>
      <c r="I14" s="109">
        <f t="shared" si="1"/>
        <v>400</v>
      </c>
      <c r="J14" t="s">
        <v>213</v>
      </c>
    </row>
    <row r="15" spans="1:14" ht="15">
      <c r="A15" s="13" t="s">
        <v>231</v>
      </c>
      <c r="C15" s="69">
        <f>SUM(C6:C14)</f>
        <v>1209503.1600000001</v>
      </c>
      <c r="E15" s="69">
        <f>SUM(E6:E14)</f>
        <v>1247658.1300000001</v>
      </c>
      <c r="G15" s="93">
        <f>+(C15-E15)/C15</f>
        <v>-3.154598620478178E-2</v>
      </c>
      <c r="I15" s="107">
        <f t="shared" si="1"/>
        <v>-38154.969999999972</v>
      </c>
    </row>
    <row r="16" spans="1:14" ht="15.75" thickBot="1">
      <c r="A16" s="13" t="s">
        <v>232</v>
      </c>
      <c r="C16" s="70">
        <f>+'2027 Budget -Draft'!J50</f>
        <v>105440.97</v>
      </c>
      <c r="E16" s="70">
        <f>+'2027 Budget -Draft'!I49+'2027 Budget -Draft'!I51+'2027 Budget -Draft'!I52</f>
        <v>329083</v>
      </c>
      <c r="G16" s="108">
        <f t="shared" ref="G16" si="2">+(C16-E16)/C16</f>
        <v>-2.1210164322274347</v>
      </c>
      <c r="I16" s="109">
        <f>+C16-E16</f>
        <v>-223642.03</v>
      </c>
      <c r="J16" s="6" t="s">
        <v>365</v>
      </c>
      <c r="K16" s="6"/>
      <c r="L16" s="6"/>
      <c r="M16" s="52"/>
      <c r="N16" s="6"/>
    </row>
    <row r="17" spans="1:12" ht="15">
      <c r="A17" s="13" t="s">
        <v>233</v>
      </c>
      <c r="C17" s="71">
        <f>+C15+C16</f>
        <v>1314944.1300000001</v>
      </c>
      <c r="E17" s="71">
        <f>+E15+E16</f>
        <v>1576741.1300000001</v>
      </c>
      <c r="G17" s="93">
        <f t="shared" ref="G17" si="3">+(C17-E17)/C17</f>
        <v>-0.19909362993239871</v>
      </c>
      <c r="I17" s="107">
        <f t="shared" si="1"/>
        <v>-261797</v>
      </c>
    </row>
    <row r="18" spans="1:12">
      <c r="E18" s="69" t="s">
        <v>213</v>
      </c>
      <c r="G18" s="107" t="s">
        <v>213</v>
      </c>
    </row>
    <row r="19" spans="1:12" ht="15">
      <c r="A19" s="13" t="s">
        <v>234</v>
      </c>
    </row>
    <row r="20" spans="1:12">
      <c r="B20" t="s">
        <v>235</v>
      </c>
      <c r="C20" s="68">
        <f>+'2027 Budget -Draft'!J115</f>
        <v>132039.01</v>
      </c>
      <c r="E20" s="71">
        <f>+'2027 Budget -Draft'!I115</f>
        <v>131789.54</v>
      </c>
      <c r="G20" s="93">
        <f>+(C20-E20)/C20</f>
        <v>1.8893658775539224E-3</v>
      </c>
      <c r="I20" s="107">
        <f>+C20-E20</f>
        <v>249.47000000000116</v>
      </c>
      <c r="J20" t="s">
        <v>213</v>
      </c>
    </row>
    <row r="21" spans="1:12">
      <c r="B21" t="s">
        <v>236</v>
      </c>
      <c r="C21" s="69">
        <f>+'2027 Budget -Draft'!J205</f>
        <v>12500</v>
      </c>
      <c r="E21" s="69">
        <f>+'2027 Budget -Draft'!I205</f>
        <v>16170</v>
      </c>
      <c r="G21" s="93">
        <f t="shared" ref="G21:G28" si="4">+(C21-E21)/C21</f>
        <v>-0.29360000000000003</v>
      </c>
      <c r="I21" s="107">
        <f t="shared" ref="I21:I26" si="5">+C21-E21</f>
        <v>-3670</v>
      </c>
    </row>
    <row r="22" spans="1:12">
      <c r="B22" s="16" t="s">
        <v>237</v>
      </c>
      <c r="C22" s="69">
        <f>+'2027 Budget -Draft'!J184</f>
        <v>24867</v>
      </c>
      <c r="E22" s="69">
        <f>+'2027 Budget -Draft'!I184</f>
        <v>24867</v>
      </c>
      <c r="G22" s="93">
        <f t="shared" si="4"/>
        <v>0</v>
      </c>
      <c r="I22" s="107">
        <f t="shared" si="5"/>
        <v>0</v>
      </c>
    </row>
    <row r="23" spans="1:12">
      <c r="B23" t="s">
        <v>228</v>
      </c>
      <c r="C23" s="69">
        <f>+'2027 Budget -Draft'!J215</f>
        <v>29992.821900000003</v>
      </c>
      <c r="E23" s="69">
        <f>+'2027 Budget -Draft'!I215</f>
        <v>29519.73</v>
      </c>
      <c r="G23" s="93">
        <f t="shared" si="4"/>
        <v>1.5773504126332411E-2</v>
      </c>
      <c r="I23" s="107">
        <f t="shared" si="5"/>
        <v>473.09190000000308</v>
      </c>
    </row>
    <row r="24" spans="1:12">
      <c r="B24" t="s">
        <v>238</v>
      </c>
      <c r="C24" s="69">
        <f>+'2027 Budget -Draft'!J221</f>
        <v>102780</v>
      </c>
      <c r="E24" s="69">
        <f>+'2027 Budget -Draft'!I221</f>
        <v>128727.83</v>
      </c>
      <c r="G24" s="93">
        <f t="shared" si="4"/>
        <v>-0.25245991438022963</v>
      </c>
      <c r="I24" s="107">
        <f t="shared" si="5"/>
        <v>-25947.83</v>
      </c>
      <c r="J24" t="s">
        <v>352</v>
      </c>
    </row>
    <row r="25" spans="1:12">
      <c r="B25" t="s">
        <v>239</v>
      </c>
      <c r="C25" s="69">
        <f>+'2027 Budget -Draft'!J180</f>
        <v>487543.56096000003</v>
      </c>
      <c r="E25" s="69">
        <f>+'2027 Budget -Draft'!I180</f>
        <v>605767.60679999995</v>
      </c>
      <c r="G25" s="93">
        <f t="shared" si="4"/>
        <v>-0.24248919544175762</v>
      </c>
      <c r="I25" s="107">
        <f>+C25-E25</f>
        <v>-118224.04583999992</v>
      </c>
      <c r="J25" s="61" t="s">
        <v>351</v>
      </c>
    </row>
    <row r="26" spans="1:12">
      <c r="B26" t="s">
        <v>240</v>
      </c>
      <c r="C26" s="69">
        <f>+'2027 Budget -Draft'!J134</f>
        <v>347428.89600000001</v>
      </c>
      <c r="E26" s="69">
        <f>+'2027 Budget -Draft'!I134</f>
        <v>407602.61</v>
      </c>
      <c r="G26" s="93">
        <f t="shared" si="4"/>
        <v>-0.17319720579603137</v>
      </c>
      <c r="I26" s="107">
        <f t="shared" si="5"/>
        <v>-60173.713999999978</v>
      </c>
      <c r="J26" s="71" t="s">
        <v>353</v>
      </c>
    </row>
    <row r="27" spans="1:12">
      <c r="B27" t="s">
        <v>269</v>
      </c>
      <c r="C27" s="69">
        <v>0</v>
      </c>
      <c r="E27" s="69">
        <v>68108</v>
      </c>
      <c r="G27" s="93">
        <v>-1</v>
      </c>
      <c r="I27" s="107">
        <f t="shared" ref="I27" si="6">+C27-E27</f>
        <v>-68108</v>
      </c>
      <c r="J27" t="s">
        <v>354</v>
      </c>
    </row>
    <row r="28" spans="1:12" ht="15" thickBot="1">
      <c r="B28" t="s">
        <v>241</v>
      </c>
      <c r="C28" s="70">
        <f>+'2027 Budget -Draft'!J201</f>
        <v>145305.9</v>
      </c>
      <c r="E28" s="70">
        <f>+'2027 Budget -Draft'!I201</f>
        <v>164188.82</v>
      </c>
      <c r="G28" s="108">
        <f t="shared" si="4"/>
        <v>-0.129952878719997</v>
      </c>
      <c r="I28" s="109">
        <f>+C28-E28</f>
        <v>-18882.920000000013</v>
      </c>
      <c r="J28" t="s">
        <v>355</v>
      </c>
    </row>
    <row r="29" spans="1:12" ht="15">
      <c r="A29" s="13" t="s">
        <v>242</v>
      </c>
      <c r="C29" s="71">
        <f>SUM(C20:C28)</f>
        <v>1282457.1888599999</v>
      </c>
      <c r="E29" s="71">
        <f>SUM(E20:E28)</f>
        <v>1576741.1368000002</v>
      </c>
      <c r="G29" s="93">
        <f>+(C29-E29)/C29</f>
        <v>-0.22946882788469128</v>
      </c>
      <c r="I29" s="107">
        <f>SUM(I20:I28)</f>
        <v>-294283.94793999987</v>
      </c>
    </row>
    <row r="30" spans="1:12" ht="15" thickBot="1">
      <c r="C30" s="63"/>
      <c r="E30" s="63"/>
    </row>
    <row r="31" spans="1:12" ht="15">
      <c r="A31" s="13" t="s">
        <v>243</v>
      </c>
      <c r="C31" s="72">
        <f>+C17-C29</f>
        <v>32486.941140000243</v>
      </c>
      <c r="E31" s="72">
        <f>+E17-E29</f>
        <v>-6.8000000901520252E-3</v>
      </c>
    </row>
    <row r="32" spans="1:12">
      <c r="E32" s="69"/>
      <c r="L32" s="18"/>
    </row>
    <row r="33" spans="3:13">
      <c r="C33" s="38"/>
      <c r="E33" s="75"/>
    </row>
    <row r="34" spans="3:13" ht="15">
      <c r="C34" s="73"/>
      <c r="E34" s="71"/>
      <c r="L34" s="13"/>
    </row>
    <row r="35" spans="3:13">
      <c r="E35" s="71"/>
      <c r="M35" s="10" t="s">
        <v>213</v>
      </c>
    </row>
    <row r="36" spans="3:13">
      <c r="M36" s="10" t="s">
        <v>213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B1" workbookViewId="0">
      <selection activeCell="H21" sqref="H21"/>
    </sheetView>
  </sheetViews>
  <sheetFormatPr defaultRowHeight="14.25"/>
  <cols>
    <col min="1" max="1" width="11.25" bestFit="1" customWidth="1"/>
    <col min="2" max="2" width="29.25" bestFit="1" customWidth="1"/>
    <col min="3" max="3" width="21.375" bestFit="1" customWidth="1"/>
    <col min="4" max="4" width="1.375" customWidth="1"/>
    <col min="5" max="5" width="21.375" bestFit="1" customWidth="1"/>
    <col min="6" max="6" width="2.5" customWidth="1"/>
    <col min="7" max="7" width="16.375" bestFit="1" customWidth="1"/>
    <col min="8" max="8" width="15.5" customWidth="1"/>
    <col min="9" max="9" width="1.5" customWidth="1"/>
    <col min="10" max="10" width="76.25" bestFit="1" customWidth="1"/>
    <col min="257" max="257" width="10.75" bestFit="1" customWidth="1"/>
    <col min="258" max="258" width="17.5" customWidth="1"/>
    <col min="259" max="259" width="21.375" bestFit="1" customWidth="1"/>
    <col min="260" max="260" width="1.375" customWidth="1"/>
    <col min="261" max="261" width="21.375" bestFit="1" customWidth="1"/>
    <col min="262" max="262" width="2.5" customWidth="1"/>
    <col min="263" max="263" width="16.375" bestFit="1" customWidth="1"/>
    <col min="264" max="264" width="13.875" bestFit="1" customWidth="1"/>
    <col min="265" max="265" width="1.5" customWidth="1"/>
    <col min="266" max="266" width="50.5" bestFit="1" customWidth="1"/>
    <col min="513" max="513" width="10.75" bestFit="1" customWidth="1"/>
    <col min="514" max="514" width="17.5" customWidth="1"/>
    <col min="515" max="515" width="21.375" bestFit="1" customWidth="1"/>
    <col min="516" max="516" width="1.375" customWidth="1"/>
    <col min="517" max="517" width="21.375" bestFit="1" customWidth="1"/>
    <col min="518" max="518" width="2.5" customWidth="1"/>
    <col min="519" max="519" width="16.375" bestFit="1" customWidth="1"/>
    <col min="520" max="520" width="13.875" bestFit="1" customWidth="1"/>
    <col min="521" max="521" width="1.5" customWidth="1"/>
    <col min="522" max="522" width="50.5" bestFit="1" customWidth="1"/>
    <col min="769" max="769" width="10.75" bestFit="1" customWidth="1"/>
    <col min="770" max="770" width="17.5" customWidth="1"/>
    <col min="771" max="771" width="21.375" bestFit="1" customWidth="1"/>
    <col min="772" max="772" width="1.375" customWidth="1"/>
    <col min="773" max="773" width="21.375" bestFit="1" customWidth="1"/>
    <col min="774" max="774" width="2.5" customWidth="1"/>
    <col min="775" max="775" width="16.375" bestFit="1" customWidth="1"/>
    <col min="776" max="776" width="13.875" bestFit="1" customWidth="1"/>
    <col min="777" max="777" width="1.5" customWidth="1"/>
    <col min="778" max="778" width="50.5" bestFit="1" customWidth="1"/>
    <col min="1025" max="1025" width="10.75" bestFit="1" customWidth="1"/>
    <col min="1026" max="1026" width="17.5" customWidth="1"/>
    <col min="1027" max="1027" width="21.375" bestFit="1" customWidth="1"/>
    <col min="1028" max="1028" width="1.375" customWidth="1"/>
    <col min="1029" max="1029" width="21.375" bestFit="1" customWidth="1"/>
    <col min="1030" max="1030" width="2.5" customWidth="1"/>
    <col min="1031" max="1031" width="16.375" bestFit="1" customWidth="1"/>
    <col min="1032" max="1032" width="13.875" bestFit="1" customWidth="1"/>
    <col min="1033" max="1033" width="1.5" customWidth="1"/>
    <col min="1034" max="1034" width="50.5" bestFit="1" customWidth="1"/>
    <col min="1281" max="1281" width="10.75" bestFit="1" customWidth="1"/>
    <col min="1282" max="1282" width="17.5" customWidth="1"/>
    <col min="1283" max="1283" width="21.375" bestFit="1" customWidth="1"/>
    <col min="1284" max="1284" width="1.375" customWidth="1"/>
    <col min="1285" max="1285" width="21.375" bestFit="1" customWidth="1"/>
    <col min="1286" max="1286" width="2.5" customWidth="1"/>
    <col min="1287" max="1287" width="16.375" bestFit="1" customWidth="1"/>
    <col min="1288" max="1288" width="13.875" bestFit="1" customWidth="1"/>
    <col min="1289" max="1289" width="1.5" customWidth="1"/>
    <col min="1290" max="1290" width="50.5" bestFit="1" customWidth="1"/>
    <col min="1537" max="1537" width="10.75" bestFit="1" customWidth="1"/>
    <col min="1538" max="1538" width="17.5" customWidth="1"/>
    <col min="1539" max="1539" width="21.375" bestFit="1" customWidth="1"/>
    <col min="1540" max="1540" width="1.375" customWidth="1"/>
    <col min="1541" max="1541" width="21.375" bestFit="1" customWidth="1"/>
    <col min="1542" max="1542" width="2.5" customWidth="1"/>
    <col min="1543" max="1543" width="16.375" bestFit="1" customWidth="1"/>
    <col min="1544" max="1544" width="13.875" bestFit="1" customWidth="1"/>
    <col min="1545" max="1545" width="1.5" customWidth="1"/>
    <col min="1546" max="1546" width="50.5" bestFit="1" customWidth="1"/>
    <col min="1793" max="1793" width="10.75" bestFit="1" customWidth="1"/>
    <col min="1794" max="1794" width="17.5" customWidth="1"/>
    <col min="1795" max="1795" width="21.375" bestFit="1" customWidth="1"/>
    <col min="1796" max="1796" width="1.375" customWidth="1"/>
    <col min="1797" max="1797" width="21.375" bestFit="1" customWidth="1"/>
    <col min="1798" max="1798" width="2.5" customWidth="1"/>
    <col min="1799" max="1799" width="16.375" bestFit="1" customWidth="1"/>
    <col min="1800" max="1800" width="13.875" bestFit="1" customWidth="1"/>
    <col min="1801" max="1801" width="1.5" customWidth="1"/>
    <col min="1802" max="1802" width="50.5" bestFit="1" customWidth="1"/>
    <col min="2049" max="2049" width="10.75" bestFit="1" customWidth="1"/>
    <col min="2050" max="2050" width="17.5" customWidth="1"/>
    <col min="2051" max="2051" width="21.375" bestFit="1" customWidth="1"/>
    <col min="2052" max="2052" width="1.375" customWidth="1"/>
    <col min="2053" max="2053" width="21.375" bestFit="1" customWidth="1"/>
    <col min="2054" max="2054" width="2.5" customWidth="1"/>
    <col min="2055" max="2055" width="16.375" bestFit="1" customWidth="1"/>
    <col min="2056" max="2056" width="13.875" bestFit="1" customWidth="1"/>
    <col min="2057" max="2057" width="1.5" customWidth="1"/>
    <col min="2058" max="2058" width="50.5" bestFit="1" customWidth="1"/>
    <col min="2305" max="2305" width="10.75" bestFit="1" customWidth="1"/>
    <col min="2306" max="2306" width="17.5" customWidth="1"/>
    <col min="2307" max="2307" width="21.375" bestFit="1" customWidth="1"/>
    <col min="2308" max="2308" width="1.375" customWidth="1"/>
    <col min="2309" max="2309" width="21.375" bestFit="1" customWidth="1"/>
    <col min="2310" max="2310" width="2.5" customWidth="1"/>
    <col min="2311" max="2311" width="16.375" bestFit="1" customWidth="1"/>
    <col min="2312" max="2312" width="13.875" bestFit="1" customWidth="1"/>
    <col min="2313" max="2313" width="1.5" customWidth="1"/>
    <col min="2314" max="2314" width="50.5" bestFit="1" customWidth="1"/>
    <col min="2561" max="2561" width="10.75" bestFit="1" customWidth="1"/>
    <col min="2562" max="2562" width="17.5" customWidth="1"/>
    <col min="2563" max="2563" width="21.375" bestFit="1" customWidth="1"/>
    <col min="2564" max="2564" width="1.375" customWidth="1"/>
    <col min="2565" max="2565" width="21.375" bestFit="1" customWidth="1"/>
    <col min="2566" max="2566" width="2.5" customWidth="1"/>
    <col min="2567" max="2567" width="16.375" bestFit="1" customWidth="1"/>
    <col min="2568" max="2568" width="13.875" bestFit="1" customWidth="1"/>
    <col min="2569" max="2569" width="1.5" customWidth="1"/>
    <col min="2570" max="2570" width="50.5" bestFit="1" customWidth="1"/>
    <col min="2817" max="2817" width="10.75" bestFit="1" customWidth="1"/>
    <col min="2818" max="2818" width="17.5" customWidth="1"/>
    <col min="2819" max="2819" width="21.375" bestFit="1" customWidth="1"/>
    <col min="2820" max="2820" width="1.375" customWidth="1"/>
    <col min="2821" max="2821" width="21.375" bestFit="1" customWidth="1"/>
    <col min="2822" max="2822" width="2.5" customWidth="1"/>
    <col min="2823" max="2823" width="16.375" bestFit="1" customWidth="1"/>
    <col min="2824" max="2824" width="13.875" bestFit="1" customWidth="1"/>
    <col min="2825" max="2825" width="1.5" customWidth="1"/>
    <col min="2826" max="2826" width="50.5" bestFit="1" customWidth="1"/>
    <col min="3073" max="3073" width="10.75" bestFit="1" customWidth="1"/>
    <col min="3074" max="3074" width="17.5" customWidth="1"/>
    <col min="3075" max="3075" width="21.375" bestFit="1" customWidth="1"/>
    <col min="3076" max="3076" width="1.375" customWidth="1"/>
    <col min="3077" max="3077" width="21.375" bestFit="1" customWidth="1"/>
    <col min="3078" max="3078" width="2.5" customWidth="1"/>
    <col min="3079" max="3079" width="16.375" bestFit="1" customWidth="1"/>
    <col min="3080" max="3080" width="13.875" bestFit="1" customWidth="1"/>
    <col min="3081" max="3081" width="1.5" customWidth="1"/>
    <col min="3082" max="3082" width="50.5" bestFit="1" customWidth="1"/>
    <col min="3329" max="3329" width="10.75" bestFit="1" customWidth="1"/>
    <col min="3330" max="3330" width="17.5" customWidth="1"/>
    <col min="3331" max="3331" width="21.375" bestFit="1" customWidth="1"/>
    <col min="3332" max="3332" width="1.375" customWidth="1"/>
    <col min="3333" max="3333" width="21.375" bestFit="1" customWidth="1"/>
    <col min="3334" max="3334" width="2.5" customWidth="1"/>
    <col min="3335" max="3335" width="16.375" bestFit="1" customWidth="1"/>
    <col min="3336" max="3336" width="13.875" bestFit="1" customWidth="1"/>
    <col min="3337" max="3337" width="1.5" customWidth="1"/>
    <col min="3338" max="3338" width="50.5" bestFit="1" customWidth="1"/>
    <col min="3585" max="3585" width="10.75" bestFit="1" customWidth="1"/>
    <col min="3586" max="3586" width="17.5" customWidth="1"/>
    <col min="3587" max="3587" width="21.375" bestFit="1" customWidth="1"/>
    <col min="3588" max="3588" width="1.375" customWidth="1"/>
    <col min="3589" max="3589" width="21.375" bestFit="1" customWidth="1"/>
    <col min="3590" max="3590" width="2.5" customWidth="1"/>
    <col min="3591" max="3591" width="16.375" bestFit="1" customWidth="1"/>
    <col min="3592" max="3592" width="13.875" bestFit="1" customWidth="1"/>
    <col min="3593" max="3593" width="1.5" customWidth="1"/>
    <col min="3594" max="3594" width="50.5" bestFit="1" customWidth="1"/>
    <col min="3841" max="3841" width="10.75" bestFit="1" customWidth="1"/>
    <col min="3842" max="3842" width="17.5" customWidth="1"/>
    <col min="3843" max="3843" width="21.375" bestFit="1" customWidth="1"/>
    <col min="3844" max="3844" width="1.375" customWidth="1"/>
    <col min="3845" max="3845" width="21.375" bestFit="1" customWidth="1"/>
    <col min="3846" max="3846" width="2.5" customWidth="1"/>
    <col min="3847" max="3847" width="16.375" bestFit="1" customWidth="1"/>
    <col min="3848" max="3848" width="13.875" bestFit="1" customWidth="1"/>
    <col min="3849" max="3849" width="1.5" customWidth="1"/>
    <col min="3850" max="3850" width="50.5" bestFit="1" customWidth="1"/>
    <col min="4097" max="4097" width="10.75" bestFit="1" customWidth="1"/>
    <col min="4098" max="4098" width="17.5" customWidth="1"/>
    <col min="4099" max="4099" width="21.375" bestFit="1" customWidth="1"/>
    <col min="4100" max="4100" width="1.375" customWidth="1"/>
    <col min="4101" max="4101" width="21.375" bestFit="1" customWidth="1"/>
    <col min="4102" max="4102" width="2.5" customWidth="1"/>
    <col min="4103" max="4103" width="16.375" bestFit="1" customWidth="1"/>
    <col min="4104" max="4104" width="13.875" bestFit="1" customWidth="1"/>
    <col min="4105" max="4105" width="1.5" customWidth="1"/>
    <col min="4106" max="4106" width="50.5" bestFit="1" customWidth="1"/>
    <col min="4353" max="4353" width="10.75" bestFit="1" customWidth="1"/>
    <col min="4354" max="4354" width="17.5" customWidth="1"/>
    <col min="4355" max="4355" width="21.375" bestFit="1" customWidth="1"/>
    <col min="4356" max="4356" width="1.375" customWidth="1"/>
    <col min="4357" max="4357" width="21.375" bestFit="1" customWidth="1"/>
    <col min="4358" max="4358" width="2.5" customWidth="1"/>
    <col min="4359" max="4359" width="16.375" bestFit="1" customWidth="1"/>
    <col min="4360" max="4360" width="13.875" bestFit="1" customWidth="1"/>
    <col min="4361" max="4361" width="1.5" customWidth="1"/>
    <col min="4362" max="4362" width="50.5" bestFit="1" customWidth="1"/>
    <col min="4609" max="4609" width="10.75" bestFit="1" customWidth="1"/>
    <col min="4610" max="4610" width="17.5" customWidth="1"/>
    <col min="4611" max="4611" width="21.375" bestFit="1" customWidth="1"/>
    <col min="4612" max="4612" width="1.375" customWidth="1"/>
    <col min="4613" max="4613" width="21.375" bestFit="1" customWidth="1"/>
    <col min="4614" max="4614" width="2.5" customWidth="1"/>
    <col min="4615" max="4615" width="16.375" bestFit="1" customWidth="1"/>
    <col min="4616" max="4616" width="13.875" bestFit="1" customWidth="1"/>
    <col min="4617" max="4617" width="1.5" customWidth="1"/>
    <col min="4618" max="4618" width="50.5" bestFit="1" customWidth="1"/>
    <col min="4865" max="4865" width="10.75" bestFit="1" customWidth="1"/>
    <col min="4866" max="4866" width="17.5" customWidth="1"/>
    <col min="4867" max="4867" width="21.375" bestFit="1" customWidth="1"/>
    <col min="4868" max="4868" width="1.375" customWidth="1"/>
    <col min="4869" max="4869" width="21.375" bestFit="1" customWidth="1"/>
    <col min="4870" max="4870" width="2.5" customWidth="1"/>
    <col min="4871" max="4871" width="16.375" bestFit="1" customWidth="1"/>
    <col min="4872" max="4872" width="13.875" bestFit="1" customWidth="1"/>
    <col min="4873" max="4873" width="1.5" customWidth="1"/>
    <col min="4874" max="4874" width="50.5" bestFit="1" customWidth="1"/>
    <col min="5121" max="5121" width="10.75" bestFit="1" customWidth="1"/>
    <col min="5122" max="5122" width="17.5" customWidth="1"/>
    <col min="5123" max="5123" width="21.375" bestFit="1" customWidth="1"/>
    <col min="5124" max="5124" width="1.375" customWidth="1"/>
    <col min="5125" max="5125" width="21.375" bestFit="1" customWidth="1"/>
    <col min="5126" max="5126" width="2.5" customWidth="1"/>
    <col min="5127" max="5127" width="16.375" bestFit="1" customWidth="1"/>
    <col min="5128" max="5128" width="13.875" bestFit="1" customWidth="1"/>
    <col min="5129" max="5129" width="1.5" customWidth="1"/>
    <col min="5130" max="5130" width="50.5" bestFit="1" customWidth="1"/>
    <col min="5377" max="5377" width="10.75" bestFit="1" customWidth="1"/>
    <col min="5378" max="5378" width="17.5" customWidth="1"/>
    <col min="5379" max="5379" width="21.375" bestFit="1" customWidth="1"/>
    <col min="5380" max="5380" width="1.375" customWidth="1"/>
    <col min="5381" max="5381" width="21.375" bestFit="1" customWidth="1"/>
    <col min="5382" max="5382" width="2.5" customWidth="1"/>
    <col min="5383" max="5383" width="16.375" bestFit="1" customWidth="1"/>
    <col min="5384" max="5384" width="13.875" bestFit="1" customWidth="1"/>
    <col min="5385" max="5385" width="1.5" customWidth="1"/>
    <col min="5386" max="5386" width="50.5" bestFit="1" customWidth="1"/>
    <col min="5633" max="5633" width="10.75" bestFit="1" customWidth="1"/>
    <col min="5634" max="5634" width="17.5" customWidth="1"/>
    <col min="5635" max="5635" width="21.375" bestFit="1" customWidth="1"/>
    <col min="5636" max="5636" width="1.375" customWidth="1"/>
    <col min="5637" max="5637" width="21.375" bestFit="1" customWidth="1"/>
    <col min="5638" max="5638" width="2.5" customWidth="1"/>
    <col min="5639" max="5639" width="16.375" bestFit="1" customWidth="1"/>
    <col min="5640" max="5640" width="13.875" bestFit="1" customWidth="1"/>
    <col min="5641" max="5641" width="1.5" customWidth="1"/>
    <col min="5642" max="5642" width="50.5" bestFit="1" customWidth="1"/>
    <col min="5889" max="5889" width="10.75" bestFit="1" customWidth="1"/>
    <col min="5890" max="5890" width="17.5" customWidth="1"/>
    <col min="5891" max="5891" width="21.375" bestFit="1" customWidth="1"/>
    <col min="5892" max="5892" width="1.375" customWidth="1"/>
    <col min="5893" max="5893" width="21.375" bestFit="1" customWidth="1"/>
    <col min="5894" max="5894" width="2.5" customWidth="1"/>
    <col min="5895" max="5895" width="16.375" bestFit="1" customWidth="1"/>
    <col min="5896" max="5896" width="13.875" bestFit="1" customWidth="1"/>
    <col min="5897" max="5897" width="1.5" customWidth="1"/>
    <col min="5898" max="5898" width="50.5" bestFit="1" customWidth="1"/>
    <col min="6145" max="6145" width="10.75" bestFit="1" customWidth="1"/>
    <col min="6146" max="6146" width="17.5" customWidth="1"/>
    <col min="6147" max="6147" width="21.375" bestFit="1" customWidth="1"/>
    <col min="6148" max="6148" width="1.375" customWidth="1"/>
    <col min="6149" max="6149" width="21.375" bestFit="1" customWidth="1"/>
    <col min="6150" max="6150" width="2.5" customWidth="1"/>
    <col min="6151" max="6151" width="16.375" bestFit="1" customWidth="1"/>
    <col min="6152" max="6152" width="13.875" bestFit="1" customWidth="1"/>
    <col min="6153" max="6153" width="1.5" customWidth="1"/>
    <col min="6154" max="6154" width="50.5" bestFit="1" customWidth="1"/>
    <col min="6401" max="6401" width="10.75" bestFit="1" customWidth="1"/>
    <col min="6402" max="6402" width="17.5" customWidth="1"/>
    <col min="6403" max="6403" width="21.375" bestFit="1" customWidth="1"/>
    <col min="6404" max="6404" width="1.375" customWidth="1"/>
    <col min="6405" max="6405" width="21.375" bestFit="1" customWidth="1"/>
    <col min="6406" max="6406" width="2.5" customWidth="1"/>
    <col min="6407" max="6407" width="16.375" bestFit="1" customWidth="1"/>
    <col min="6408" max="6408" width="13.875" bestFit="1" customWidth="1"/>
    <col min="6409" max="6409" width="1.5" customWidth="1"/>
    <col min="6410" max="6410" width="50.5" bestFit="1" customWidth="1"/>
    <col min="6657" max="6657" width="10.75" bestFit="1" customWidth="1"/>
    <col min="6658" max="6658" width="17.5" customWidth="1"/>
    <col min="6659" max="6659" width="21.375" bestFit="1" customWidth="1"/>
    <col min="6660" max="6660" width="1.375" customWidth="1"/>
    <col min="6661" max="6661" width="21.375" bestFit="1" customWidth="1"/>
    <col min="6662" max="6662" width="2.5" customWidth="1"/>
    <col min="6663" max="6663" width="16.375" bestFit="1" customWidth="1"/>
    <col min="6664" max="6664" width="13.875" bestFit="1" customWidth="1"/>
    <col min="6665" max="6665" width="1.5" customWidth="1"/>
    <col min="6666" max="6666" width="50.5" bestFit="1" customWidth="1"/>
    <col min="6913" max="6913" width="10.75" bestFit="1" customWidth="1"/>
    <col min="6914" max="6914" width="17.5" customWidth="1"/>
    <col min="6915" max="6915" width="21.375" bestFit="1" customWidth="1"/>
    <col min="6916" max="6916" width="1.375" customWidth="1"/>
    <col min="6917" max="6917" width="21.375" bestFit="1" customWidth="1"/>
    <col min="6918" max="6918" width="2.5" customWidth="1"/>
    <col min="6919" max="6919" width="16.375" bestFit="1" customWidth="1"/>
    <col min="6920" max="6920" width="13.875" bestFit="1" customWidth="1"/>
    <col min="6921" max="6921" width="1.5" customWidth="1"/>
    <col min="6922" max="6922" width="50.5" bestFit="1" customWidth="1"/>
    <col min="7169" max="7169" width="10.75" bestFit="1" customWidth="1"/>
    <col min="7170" max="7170" width="17.5" customWidth="1"/>
    <col min="7171" max="7171" width="21.375" bestFit="1" customWidth="1"/>
    <col min="7172" max="7172" width="1.375" customWidth="1"/>
    <col min="7173" max="7173" width="21.375" bestFit="1" customWidth="1"/>
    <col min="7174" max="7174" width="2.5" customWidth="1"/>
    <col min="7175" max="7175" width="16.375" bestFit="1" customWidth="1"/>
    <col min="7176" max="7176" width="13.875" bestFit="1" customWidth="1"/>
    <col min="7177" max="7177" width="1.5" customWidth="1"/>
    <col min="7178" max="7178" width="50.5" bestFit="1" customWidth="1"/>
    <col min="7425" max="7425" width="10.75" bestFit="1" customWidth="1"/>
    <col min="7426" max="7426" width="17.5" customWidth="1"/>
    <col min="7427" max="7427" width="21.375" bestFit="1" customWidth="1"/>
    <col min="7428" max="7428" width="1.375" customWidth="1"/>
    <col min="7429" max="7429" width="21.375" bestFit="1" customWidth="1"/>
    <col min="7430" max="7430" width="2.5" customWidth="1"/>
    <col min="7431" max="7431" width="16.375" bestFit="1" customWidth="1"/>
    <col min="7432" max="7432" width="13.875" bestFit="1" customWidth="1"/>
    <col min="7433" max="7433" width="1.5" customWidth="1"/>
    <col min="7434" max="7434" width="50.5" bestFit="1" customWidth="1"/>
    <col min="7681" max="7681" width="10.75" bestFit="1" customWidth="1"/>
    <col min="7682" max="7682" width="17.5" customWidth="1"/>
    <col min="7683" max="7683" width="21.375" bestFit="1" customWidth="1"/>
    <col min="7684" max="7684" width="1.375" customWidth="1"/>
    <col min="7685" max="7685" width="21.375" bestFit="1" customWidth="1"/>
    <col min="7686" max="7686" width="2.5" customWidth="1"/>
    <col min="7687" max="7687" width="16.375" bestFit="1" customWidth="1"/>
    <col min="7688" max="7688" width="13.875" bestFit="1" customWidth="1"/>
    <col min="7689" max="7689" width="1.5" customWidth="1"/>
    <col min="7690" max="7690" width="50.5" bestFit="1" customWidth="1"/>
    <col min="7937" max="7937" width="10.75" bestFit="1" customWidth="1"/>
    <col min="7938" max="7938" width="17.5" customWidth="1"/>
    <col min="7939" max="7939" width="21.375" bestFit="1" customWidth="1"/>
    <col min="7940" max="7940" width="1.375" customWidth="1"/>
    <col min="7941" max="7941" width="21.375" bestFit="1" customWidth="1"/>
    <col min="7942" max="7942" width="2.5" customWidth="1"/>
    <col min="7943" max="7943" width="16.375" bestFit="1" customWidth="1"/>
    <col min="7944" max="7944" width="13.875" bestFit="1" customWidth="1"/>
    <col min="7945" max="7945" width="1.5" customWidth="1"/>
    <col min="7946" max="7946" width="50.5" bestFit="1" customWidth="1"/>
    <col min="8193" max="8193" width="10.75" bestFit="1" customWidth="1"/>
    <col min="8194" max="8194" width="17.5" customWidth="1"/>
    <col min="8195" max="8195" width="21.375" bestFit="1" customWidth="1"/>
    <col min="8196" max="8196" width="1.375" customWidth="1"/>
    <col min="8197" max="8197" width="21.375" bestFit="1" customWidth="1"/>
    <col min="8198" max="8198" width="2.5" customWidth="1"/>
    <col min="8199" max="8199" width="16.375" bestFit="1" customWidth="1"/>
    <col min="8200" max="8200" width="13.875" bestFit="1" customWidth="1"/>
    <col min="8201" max="8201" width="1.5" customWidth="1"/>
    <col min="8202" max="8202" width="50.5" bestFit="1" customWidth="1"/>
    <col min="8449" max="8449" width="10.75" bestFit="1" customWidth="1"/>
    <col min="8450" max="8450" width="17.5" customWidth="1"/>
    <col min="8451" max="8451" width="21.375" bestFit="1" customWidth="1"/>
    <col min="8452" max="8452" width="1.375" customWidth="1"/>
    <col min="8453" max="8453" width="21.375" bestFit="1" customWidth="1"/>
    <col min="8454" max="8454" width="2.5" customWidth="1"/>
    <col min="8455" max="8455" width="16.375" bestFit="1" customWidth="1"/>
    <col min="8456" max="8456" width="13.875" bestFit="1" customWidth="1"/>
    <col min="8457" max="8457" width="1.5" customWidth="1"/>
    <col min="8458" max="8458" width="50.5" bestFit="1" customWidth="1"/>
    <col min="8705" max="8705" width="10.75" bestFit="1" customWidth="1"/>
    <col min="8706" max="8706" width="17.5" customWidth="1"/>
    <col min="8707" max="8707" width="21.375" bestFit="1" customWidth="1"/>
    <col min="8708" max="8708" width="1.375" customWidth="1"/>
    <col min="8709" max="8709" width="21.375" bestFit="1" customWidth="1"/>
    <col min="8710" max="8710" width="2.5" customWidth="1"/>
    <col min="8711" max="8711" width="16.375" bestFit="1" customWidth="1"/>
    <col min="8712" max="8712" width="13.875" bestFit="1" customWidth="1"/>
    <col min="8713" max="8713" width="1.5" customWidth="1"/>
    <col min="8714" max="8714" width="50.5" bestFit="1" customWidth="1"/>
    <col min="8961" max="8961" width="10.75" bestFit="1" customWidth="1"/>
    <col min="8962" max="8962" width="17.5" customWidth="1"/>
    <col min="8963" max="8963" width="21.375" bestFit="1" customWidth="1"/>
    <col min="8964" max="8964" width="1.375" customWidth="1"/>
    <col min="8965" max="8965" width="21.375" bestFit="1" customWidth="1"/>
    <col min="8966" max="8966" width="2.5" customWidth="1"/>
    <col min="8967" max="8967" width="16.375" bestFit="1" customWidth="1"/>
    <col min="8968" max="8968" width="13.875" bestFit="1" customWidth="1"/>
    <col min="8969" max="8969" width="1.5" customWidth="1"/>
    <col min="8970" max="8970" width="50.5" bestFit="1" customWidth="1"/>
    <col min="9217" max="9217" width="10.75" bestFit="1" customWidth="1"/>
    <col min="9218" max="9218" width="17.5" customWidth="1"/>
    <col min="9219" max="9219" width="21.375" bestFit="1" customWidth="1"/>
    <col min="9220" max="9220" width="1.375" customWidth="1"/>
    <col min="9221" max="9221" width="21.375" bestFit="1" customWidth="1"/>
    <col min="9222" max="9222" width="2.5" customWidth="1"/>
    <col min="9223" max="9223" width="16.375" bestFit="1" customWidth="1"/>
    <col min="9224" max="9224" width="13.875" bestFit="1" customWidth="1"/>
    <col min="9225" max="9225" width="1.5" customWidth="1"/>
    <col min="9226" max="9226" width="50.5" bestFit="1" customWidth="1"/>
    <col min="9473" max="9473" width="10.75" bestFit="1" customWidth="1"/>
    <col min="9474" max="9474" width="17.5" customWidth="1"/>
    <col min="9475" max="9475" width="21.375" bestFit="1" customWidth="1"/>
    <col min="9476" max="9476" width="1.375" customWidth="1"/>
    <col min="9477" max="9477" width="21.375" bestFit="1" customWidth="1"/>
    <col min="9478" max="9478" width="2.5" customWidth="1"/>
    <col min="9479" max="9479" width="16.375" bestFit="1" customWidth="1"/>
    <col min="9480" max="9480" width="13.875" bestFit="1" customWidth="1"/>
    <col min="9481" max="9481" width="1.5" customWidth="1"/>
    <col min="9482" max="9482" width="50.5" bestFit="1" customWidth="1"/>
    <col min="9729" max="9729" width="10.75" bestFit="1" customWidth="1"/>
    <col min="9730" max="9730" width="17.5" customWidth="1"/>
    <col min="9731" max="9731" width="21.375" bestFit="1" customWidth="1"/>
    <col min="9732" max="9732" width="1.375" customWidth="1"/>
    <col min="9733" max="9733" width="21.375" bestFit="1" customWidth="1"/>
    <col min="9734" max="9734" width="2.5" customWidth="1"/>
    <col min="9735" max="9735" width="16.375" bestFit="1" customWidth="1"/>
    <col min="9736" max="9736" width="13.875" bestFit="1" customWidth="1"/>
    <col min="9737" max="9737" width="1.5" customWidth="1"/>
    <col min="9738" max="9738" width="50.5" bestFit="1" customWidth="1"/>
    <col min="9985" max="9985" width="10.75" bestFit="1" customWidth="1"/>
    <col min="9986" max="9986" width="17.5" customWidth="1"/>
    <col min="9987" max="9987" width="21.375" bestFit="1" customWidth="1"/>
    <col min="9988" max="9988" width="1.375" customWidth="1"/>
    <col min="9989" max="9989" width="21.375" bestFit="1" customWidth="1"/>
    <col min="9990" max="9990" width="2.5" customWidth="1"/>
    <col min="9991" max="9991" width="16.375" bestFit="1" customWidth="1"/>
    <col min="9992" max="9992" width="13.875" bestFit="1" customWidth="1"/>
    <col min="9993" max="9993" width="1.5" customWidth="1"/>
    <col min="9994" max="9994" width="50.5" bestFit="1" customWidth="1"/>
    <col min="10241" max="10241" width="10.75" bestFit="1" customWidth="1"/>
    <col min="10242" max="10242" width="17.5" customWidth="1"/>
    <col min="10243" max="10243" width="21.375" bestFit="1" customWidth="1"/>
    <col min="10244" max="10244" width="1.375" customWidth="1"/>
    <col min="10245" max="10245" width="21.375" bestFit="1" customWidth="1"/>
    <col min="10246" max="10246" width="2.5" customWidth="1"/>
    <col min="10247" max="10247" width="16.375" bestFit="1" customWidth="1"/>
    <col min="10248" max="10248" width="13.875" bestFit="1" customWidth="1"/>
    <col min="10249" max="10249" width="1.5" customWidth="1"/>
    <col min="10250" max="10250" width="50.5" bestFit="1" customWidth="1"/>
    <col min="10497" max="10497" width="10.75" bestFit="1" customWidth="1"/>
    <col min="10498" max="10498" width="17.5" customWidth="1"/>
    <col min="10499" max="10499" width="21.375" bestFit="1" customWidth="1"/>
    <col min="10500" max="10500" width="1.375" customWidth="1"/>
    <col min="10501" max="10501" width="21.375" bestFit="1" customWidth="1"/>
    <col min="10502" max="10502" width="2.5" customWidth="1"/>
    <col min="10503" max="10503" width="16.375" bestFit="1" customWidth="1"/>
    <col min="10504" max="10504" width="13.875" bestFit="1" customWidth="1"/>
    <col min="10505" max="10505" width="1.5" customWidth="1"/>
    <col min="10506" max="10506" width="50.5" bestFit="1" customWidth="1"/>
    <col min="10753" max="10753" width="10.75" bestFit="1" customWidth="1"/>
    <col min="10754" max="10754" width="17.5" customWidth="1"/>
    <col min="10755" max="10755" width="21.375" bestFit="1" customWidth="1"/>
    <col min="10756" max="10756" width="1.375" customWidth="1"/>
    <col min="10757" max="10757" width="21.375" bestFit="1" customWidth="1"/>
    <col min="10758" max="10758" width="2.5" customWidth="1"/>
    <col min="10759" max="10759" width="16.375" bestFit="1" customWidth="1"/>
    <col min="10760" max="10760" width="13.875" bestFit="1" customWidth="1"/>
    <col min="10761" max="10761" width="1.5" customWidth="1"/>
    <col min="10762" max="10762" width="50.5" bestFit="1" customWidth="1"/>
    <col min="11009" max="11009" width="10.75" bestFit="1" customWidth="1"/>
    <col min="11010" max="11010" width="17.5" customWidth="1"/>
    <col min="11011" max="11011" width="21.375" bestFit="1" customWidth="1"/>
    <col min="11012" max="11012" width="1.375" customWidth="1"/>
    <col min="11013" max="11013" width="21.375" bestFit="1" customWidth="1"/>
    <col min="11014" max="11014" width="2.5" customWidth="1"/>
    <col min="11015" max="11015" width="16.375" bestFit="1" customWidth="1"/>
    <col min="11016" max="11016" width="13.875" bestFit="1" customWidth="1"/>
    <col min="11017" max="11017" width="1.5" customWidth="1"/>
    <col min="11018" max="11018" width="50.5" bestFit="1" customWidth="1"/>
    <col min="11265" max="11265" width="10.75" bestFit="1" customWidth="1"/>
    <col min="11266" max="11266" width="17.5" customWidth="1"/>
    <col min="11267" max="11267" width="21.375" bestFit="1" customWidth="1"/>
    <col min="11268" max="11268" width="1.375" customWidth="1"/>
    <col min="11269" max="11269" width="21.375" bestFit="1" customWidth="1"/>
    <col min="11270" max="11270" width="2.5" customWidth="1"/>
    <col min="11271" max="11271" width="16.375" bestFit="1" customWidth="1"/>
    <col min="11272" max="11272" width="13.875" bestFit="1" customWidth="1"/>
    <col min="11273" max="11273" width="1.5" customWidth="1"/>
    <col min="11274" max="11274" width="50.5" bestFit="1" customWidth="1"/>
    <col min="11521" max="11521" width="10.75" bestFit="1" customWidth="1"/>
    <col min="11522" max="11522" width="17.5" customWidth="1"/>
    <col min="11523" max="11523" width="21.375" bestFit="1" customWidth="1"/>
    <col min="11524" max="11524" width="1.375" customWidth="1"/>
    <col min="11525" max="11525" width="21.375" bestFit="1" customWidth="1"/>
    <col min="11526" max="11526" width="2.5" customWidth="1"/>
    <col min="11527" max="11527" width="16.375" bestFit="1" customWidth="1"/>
    <col min="11528" max="11528" width="13.875" bestFit="1" customWidth="1"/>
    <col min="11529" max="11529" width="1.5" customWidth="1"/>
    <col min="11530" max="11530" width="50.5" bestFit="1" customWidth="1"/>
    <col min="11777" max="11777" width="10.75" bestFit="1" customWidth="1"/>
    <col min="11778" max="11778" width="17.5" customWidth="1"/>
    <col min="11779" max="11779" width="21.375" bestFit="1" customWidth="1"/>
    <col min="11780" max="11780" width="1.375" customWidth="1"/>
    <col min="11781" max="11781" width="21.375" bestFit="1" customWidth="1"/>
    <col min="11782" max="11782" width="2.5" customWidth="1"/>
    <col min="11783" max="11783" width="16.375" bestFit="1" customWidth="1"/>
    <col min="11784" max="11784" width="13.875" bestFit="1" customWidth="1"/>
    <col min="11785" max="11785" width="1.5" customWidth="1"/>
    <col min="11786" max="11786" width="50.5" bestFit="1" customWidth="1"/>
    <col min="12033" max="12033" width="10.75" bestFit="1" customWidth="1"/>
    <col min="12034" max="12034" width="17.5" customWidth="1"/>
    <col min="12035" max="12035" width="21.375" bestFit="1" customWidth="1"/>
    <col min="12036" max="12036" width="1.375" customWidth="1"/>
    <col min="12037" max="12037" width="21.375" bestFit="1" customWidth="1"/>
    <col min="12038" max="12038" width="2.5" customWidth="1"/>
    <col min="12039" max="12039" width="16.375" bestFit="1" customWidth="1"/>
    <col min="12040" max="12040" width="13.875" bestFit="1" customWidth="1"/>
    <col min="12041" max="12041" width="1.5" customWidth="1"/>
    <col min="12042" max="12042" width="50.5" bestFit="1" customWidth="1"/>
    <col min="12289" max="12289" width="10.75" bestFit="1" customWidth="1"/>
    <col min="12290" max="12290" width="17.5" customWidth="1"/>
    <col min="12291" max="12291" width="21.375" bestFit="1" customWidth="1"/>
    <col min="12292" max="12292" width="1.375" customWidth="1"/>
    <col min="12293" max="12293" width="21.375" bestFit="1" customWidth="1"/>
    <col min="12294" max="12294" width="2.5" customWidth="1"/>
    <col min="12295" max="12295" width="16.375" bestFit="1" customWidth="1"/>
    <col min="12296" max="12296" width="13.875" bestFit="1" customWidth="1"/>
    <col min="12297" max="12297" width="1.5" customWidth="1"/>
    <col min="12298" max="12298" width="50.5" bestFit="1" customWidth="1"/>
    <col min="12545" max="12545" width="10.75" bestFit="1" customWidth="1"/>
    <col min="12546" max="12546" width="17.5" customWidth="1"/>
    <col min="12547" max="12547" width="21.375" bestFit="1" customWidth="1"/>
    <col min="12548" max="12548" width="1.375" customWidth="1"/>
    <col min="12549" max="12549" width="21.375" bestFit="1" customWidth="1"/>
    <col min="12550" max="12550" width="2.5" customWidth="1"/>
    <col min="12551" max="12551" width="16.375" bestFit="1" customWidth="1"/>
    <col min="12552" max="12552" width="13.875" bestFit="1" customWidth="1"/>
    <col min="12553" max="12553" width="1.5" customWidth="1"/>
    <col min="12554" max="12554" width="50.5" bestFit="1" customWidth="1"/>
    <col min="12801" max="12801" width="10.75" bestFit="1" customWidth="1"/>
    <col min="12802" max="12802" width="17.5" customWidth="1"/>
    <col min="12803" max="12803" width="21.375" bestFit="1" customWidth="1"/>
    <col min="12804" max="12804" width="1.375" customWidth="1"/>
    <col min="12805" max="12805" width="21.375" bestFit="1" customWidth="1"/>
    <col min="12806" max="12806" width="2.5" customWidth="1"/>
    <col min="12807" max="12807" width="16.375" bestFit="1" customWidth="1"/>
    <col min="12808" max="12808" width="13.875" bestFit="1" customWidth="1"/>
    <col min="12809" max="12809" width="1.5" customWidth="1"/>
    <col min="12810" max="12810" width="50.5" bestFit="1" customWidth="1"/>
    <col min="13057" max="13057" width="10.75" bestFit="1" customWidth="1"/>
    <col min="13058" max="13058" width="17.5" customWidth="1"/>
    <col min="13059" max="13059" width="21.375" bestFit="1" customWidth="1"/>
    <col min="13060" max="13060" width="1.375" customWidth="1"/>
    <col min="13061" max="13061" width="21.375" bestFit="1" customWidth="1"/>
    <col min="13062" max="13062" width="2.5" customWidth="1"/>
    <col min="13063" max="13063" width="16.375" bestFit="1" customWidth="1"/>
    <col min="13064" max="13064" width="13.875" bestFit="1" customWidth="1"/>
    <col min="13065" max="13065" width="1.5" customWidth="1"/>
    <col min="13066" max="13066" width="50.5" bestFit="1" customWidth="1"/>
    <col min="13313" max="13313" width="10.75" bestFit="1" customWidth="1"/>
    <col min="13314" max="13314" width="17.5" customWidth="1"/>
    <col min="13315" max="13315" width="21.375" bestFit="1" customWidth="1"/>
    <col min="13316" max="13316" width="1.375" customWidth="1"/>
    <col min="13317" max="13317" width="21.375" bestFit="1" customWidth="1"/>
    <col min="13318" max="13318" width="2.5" customWidth="1"/>
    <col min="13319" max="13319" width="16.375" bestFit="1" customWidth="1"/>
    <col min="13320" max="13320" width="13.875" bestFit="1" customWidth="1"/>
    <col min="13321" max="13321" width="1.5" customWidth="1"/>
    <col min="13322" max="13322" width="50.5" bestFit="1" customWidth="1"/>
    <col min="13569" max="13569" width="10.75" bestFit="1" customWidth="1"/>
    <col min="13570" max="13570" width="17.5" customWidth="1"/>
    <col min="13571" max="13571" width="21.375" bestFit="1" customWidth="1"/>
    <col min="13572" max="13572" width="1.375" customWidth="1"/>
    <col min="13573" max="13573" width="21.375" bestFit="1" customWidth="1"/>
    <col min="13574" max="13574" width="2.5" customWidth="1"/>
    <col min="13575" max="13575" width="16.375" bestFit="1" customWidth="1"/>
    <col min="13576" max="13576" width="13.875" bestFit="1" customWidth="1"/>
    <col min="13577" max="13577" width="1.5" customWidth="1"/>
    <col min="13578" max="13578" width="50.5" bestFit="1" customWidth="1"/>
    <col min="13825" max="13825" width="10.75" bestFit="1" customWidth="1"/>
    <col min="13826" max="13826" width="17.5" customWidth="1"/>
    <col min="13827" max="13827" width="21.375" bestFit="1" customWidth="1"/>
    <col min="13828" max="13828" width="1.375" customWidth="1"/>
    <col min="13829" max="13829" width="21.375" bestFit="1" customWidth="1"/>
    <col min="13830" max="13830" width="2.5" customWidth="1"/>
    <col min="13831" max="13831" width="16.375" bestFit="1" customWidth="1"/>
    <col min="13832" max="13832" width="13.875" bestFit="1" customWidth="1"/>
    <col min="13833" max="13833" width="1.5" customWidth="1"/>
    <col min="13834" max="13834" width="50.5" bestFit="1" customWidth="1"/>
    <col min="14081" max="14081" width="10.75" bestFit="1" customWidth="1"/>
    <col min="14082" max="14082" width="17.5" customWidth="1"/>
    <col min="14083" max="14083" width="21.375" bestFit="1" customWidth="1"/>
    <col min="14084" max="14084" width="1.375" customWidth="1"/>
    <col min="14085" max="14085" width="21.375" bestFit="1" customWidth="1"/>
    <col min="14086" max="14086" width="2.5" customWidth="1"/>
    <col min="14087" max="14087" width="16.375" bestFit="1" customWidth="1"/>
    <col min="14088" max="14088" width="13.875" bestFit="1" customWidth="1"/>
    <col min="14089" max="14089" width="1.5" customWidth="1"/>
    <col min="14090" max="14090" width="50.5" bestFit="1" customWidth="1"/>
    <col min="14337" max="14337" width="10.75" bestFit="1" customWidth="1"/>
    <col min="14338" max="14338" width="17.5" customWidth="1"/>
    <col min="14339" max="14339" width="21.375" bestFit="1" customWidth="1"/>
    <col min="14340" max="14340" width="1.375" customWidth="1"/>
    <col min="14341" max="14341" width="21.375" bestFit="1" customWidth="1"/>
    <col min="14342" max="14342" width="2.5" customWidth="1"/>
    <col min="14343" max="14343" width="16.375" bestFit="1" customWidth="1"/>
    <col min="14344" max="14344" width="13.875" bestFit="1" customWidth="1"/>
    <col min="14345" max="14345" width="1.5" customWidth="1"/>
    <col min="14346" max="14346" width="50.5" bestFit="1" customWidth="1"/>
    <col min="14593" max="14593" width="10.75" bestFit="1" customWidth="1"/>
    <col min="14594" max="14594" width="17.5" customWidth="1"/>
    <col min="14595" max="14595" width="21.375" bestFit="1" customWidth="1"/>
    <col min="14596" max="14596" width="1.375" customWidth="1"/>
    <col min="14597" max="14597" width="21.375" bestFit="1" customWidth="1"/>
    <col min="14598" max="14598" width="2.5" customWidth="1"/>
    <col min="14599" max="14599" width="16.375" bestFit="1" customWidth="1"/>
    <col min="14600" max="14600" width="13.875" bestFit="1" customWidth="1"/>
    <col min="14601" max="14601" width="1.5" customWidth="1"/>
    <col min="14602" max="14602" width="50.5" bestFit="1" customWidth="1"/>
    <col min="14849" max="14849" width="10.75" bestFit="1" customWidth="1"/>
    <col min="14850" max="14850" width="17.5" customWidth="1"/>
    <col min="14851" max="14851" width="21.375" bestFit="1" customWidth="1"/>
    <col min="14852" max="14852" width="1.375" customWidth="1"/>
    <col min="14853" max="14853" width="21.375" bestFit="1" customWidth="1"/>
    <col min="14854" max="14854" width="2.5" customWidth="1"/>
    <col min="14855" max="14855" width="16.375" bestFit="1" customWidth="1"/>
    <col min="14856" max="14856" width="13.875" bestFit="1" customWidth="1"/>
    <col min="14857" max="14857" width="1.5" customWidth="1"/>
    <col min="14858" max="14858" width="50.5" bestFit="1" customWidth="1"/>
    <col min="15105" max="15105" width="10.75" bestFit="1" customWidth="1"/>
    <col min="15106" max="15106" width="17.5" customWidth="1"/>
    <col min="15107" max="15107" width="21.375" bestFit="1" customWidth="1"/>
    <col min="15108" max="15108" width="1.375" customWidth="1"/>
    <col min="15109" max="15109" width="21.375" bestFit="1" customWidth="1"/>
    <col min="15110" max="15110" width="2.5" customWidth="1"/>
    <col min="15111" max="15111" width="16.375" bestFit="1" customWidth="1"/>
    <col min="15112" max="15112" width="13.875" bestFit="1" customWidth="1"/>
    <col min="15113" max="15113" width="1.5" customWidth="1"/>
    <col min="15114" max="15114" width="50.5" bestFit="1" customWidth="1"/>
    <col min="15361" max="15361" width="10.75" bestFit="1" customWidth="1"/>
    <col min="15362" max="15362" width="17.5" customWidth="1"/>
    <col min="15363" max="15363" width="21.375" bestFit="1" customWidth="1"/>
    <col min="15364" max="15364" width="1.375" customWidth="1"/>
    <col min="15365" max="15365" width="21.375" bestFit="1" customWidth="1"/>
    <col min="15366" max="15366" width="2.5" customWidth="1"/>
    <col min="15367" max="15367" width="16.375" bestFit="1" customWidth="1"/>
    <col min="15368" max="15368" width="13.875" bestFit="1" customWidth="1"/>
    <col min="15369" max="15369" width="1.5" customWidth="1"/>
    <col min="15370" max="15370" width="50.5" bestFit="1" customWidth="1"/>
    <col min="15617" max="15617" width="10.75" bestFit="1" customWidth="1"/>
    <col min="15618" max="15618" width="17.5" customWidth="1"/>
    <col min="15619" max="15619" width="21.375" bestFit="1" customWidth="1"/>
    <col min="15620" max="15620" width="1.375" customWidth="1"/>
    <col min="15621" max="15621" width="21.375" bestFit="1" customWidth="1"/>
    <col min="15622" max="15622" width="2.5" customWidth="1"/>
    <col min="15623" max="15623" width="16.375" bestFit="1" customWidth="1"/>
    <col min="15624" max="15624" width="13.875" bestFit="1" customWidth="1"/>
    <col min="15625" max="15625" width="1.5" customWidth="1"/>
    <col min="15626" max="15626" width="50.5" bestFit="1" customWidth="1"/>
    <col min="15873" max="15873" width="10.75" bestFit="1" customWidth="1"/>
    <col min="15874" max="15874" width="17.5" customWidth="1"/>
    <col min="15875" max="15875" width="21.375" bestFit="1" customWidth="1"/>
    <col min="15876" max="15876" width="1.375" customWidth="1"/>
    <col min="15877" max="15877" width="21.375" bestFit="1" customWidth="1"/>
    <col min="15878" max="15878" width="2.5" customWidth="1"/>
    <col min="15879" max="15879" width="16.375" bestFit="1" customWidth="1"/>
    <col min="15880" max="15880" width="13.875" bestFit="1" customWidth="1"/>
    <col min="15881" max="15881" width="1.5" customWidth="1"/>
    <col min="15882" max="15882" width="50.5" bestFit="1" customWidth="1"/>
    <col min="16129" max="16129" width="10.75" bestFit="1" customWidth="1"/>
    <col min="16130" max="16130" width="17.5" customWidth="1"/>
    <col min="16131" max="16131" width="21.375" bestFit="1" customWidth="1"/>
    <col min="16132" max="16132" width="1.375" customWidth="1"/>
    <col min="16133" max="16133" width="21.375" bestFit="1" customWidth="1"/>
    <col min="16134" max="16134" width="2.5" customWidth="1"/>
    <col min="16135" max="16135" width="16.375" bestFit="1" customWidth="1"/>
    <col min="16136" max="16136" width="13.875" bestFit="1" customWidth="1"/>
    <col min="16137" max="16137" width="1.5" customWidth="1"/>
    <col min="16138" max="16138" width="50.5" bestFit="1" customWidth="1"/>
  </cols>
  <sheetData>
    <row r="1" spans="1:11">
      <c r="G1" t="s">
        <v>244</v>
      </c>
      <c r="H1" t="s">
        <v>245</v>
      </c>
    </row>
    <row r="2" spans="1:11">
      <c r="C2" s="11" t="s">
        <v>246</v>
      </c>
      <c r="D2" s="11"/>
      <c r="E2" s="11" t="s">
        <v>246</v>
      </c>
      <c r="G2" t="s">
        <v>247</v>
      </c>
      <c r="H2" t="s">
        <v>248</v>
      </c>
    </row>
    <row r="3" spans="1:11" ht="15.75" thickBot="1">
      <c r="A3" s="13" t="s">
        <v>249</v>
      </c>
      <c r="C3" s="63" t="s">
        <v>295</v>
      </c>
      <c r="D3" s="11"/>
      <c r="E3" s="63" t="s">
        <v>296</v>
      </c>
      <c r="G3" s="14" t="s">
        <v>250</v>
      </c>
      <c r="H3" s="17"/>
    </row>
    <row r="4" spans="1:11" ht="15">
      <c r="A4" s="20" t="s">
        <v>251</v>
      </c>
      <c r="B4" t="s">
        <v>252</v>
      </c>
      <c r="C4" s="21">
        <f>+'[1]Detailed Budget Worksheet'!R189</f>
        <v>13890.33</v>
      </c>
      <c r="D4" s="21"/>
      <c r="E4" s="21">
        <f>+'[1]Detailed Budget Worksheet'!P189</f>
        <v>13890.33</v>
      </c>
      <c r="F4" s="10"/>
      <c r="G4" s="10">
        <v>0</v>
      </c>
      <c r="H4" s="21">
        <f>+E4</f>
        <v>13890.33</v>
      </c>
      <c r="J4" s="15" t="s">
        <v>213</v>
      </c>
      <c r="K4" s="15"/>
    </row>
    <row r="5" spans="1:11" ht="15">
      <c r="A5" s="20" t="s">
        <v>251</v>
      </c>
      <c r="B5" t="s">
        <v>253</v>
      </c>
      <c r="C5" s="21">
        <f>+'[1]Detailed Budget Worksheet'!R194</f>
        <v>18882.919999999998</v>
      </c>
      <c r="D5" s="21"/>
      <c r="E5" s="21">
        <v>0</v>
      </c>
      <c r="F5" s="10"/>
      <c r="G5" s="10">
        <v>0</v>
      </c>
      <c r="H5" s="21">
        <f t="shared" ref="H5:H6" si="0">+E5</f>
        <v>0</v>
      </c>
      <c r="J5" t="s">
        <v>213</v>
      </c>
    </row>
    <row r="6" spans="1:11" ht="15">
      <c r="A6" s="20" t="s">
        <v>251</v>
      </c>
      <c r="B6" t="s">
        <v>254</v>
      </c>
      <c r="C6" s="21">
        <f>+'[1]Detailed Budget Worksheet'!R191</f>
        <v>59835.31</v>
      </c>
      <c r="D6" s="21"/>
      <c r="E6" s="21">
        <f>+'[1]Detailed Budget Worksheet'!P191</f>
        <v>59835.31</v>
      </c>
      <c r="F6" s="10"/>
      <c r="G6" s="10">
        <v>0</v>
      </c>
      <c r="H6" s="21">
        <f t="shared" si="0"/>
        <v>59835.31</v>
      </c>
      <c r="J6" s="15" t="s">
        <v>213</v>
      </c>
      <c r="K6" s="15"/>
    </row>
    <row r="7" spans="1:11" ht="15">
      <c r="A7" s="20" t="s">
        <v>255</v>
      </c>
      <c r="B7" t="s">
        <v>256</v>
      </c>
      <c r="C7" s="21">
        <f>+'[1]Detailed Budget Worksheet'!R198</f>
        <v>13717.02</v>
      </c>
      <c r="D7" s="21"/>
      <c r="E7" s="21">
        <f>+'[1]Detailed Budget Worksheet'!P198</f>
        <v>13717.02</v>
      </c>
      <c r="F7" s="10"/>
      <c r="G7" s="10">
        <v>0</v>
      </c>
      <c r="H7" s="10">
        <f>+E7</f>
        <v>13717.02</v>
      </c>
      <c r="J7" s="15" t="s">
        <v>213</v>
      </c>
    </row>
    <row r="8" spans="1:11" ht="15">
      <c r="A8" s="20" t="s">
        <v>257</v>
      </c>
      <c r="B8" t="s">
        <v>258</v>
      </c>
      <c r="C8" s="21">
        <f>+'[1]Detailed Budget Worksheet'!R195</f>
        <v>8294.8799999999992</v>
      </c>
      <c r="D8" s="21"/>
      <c r="E8" s="21">
        <f>+'[1]Detailed Budget Worksheet'!P195</f>
        <v>8294.8799999999992</v>
      </c>
      <c r="F8" s="10"/>
      <c r="G8" s="10">
        <v>0</v>
      </c>
      <c r="H8" s="10">
        <f>+C8</f>
        <v>8294.8799999999992</v>
      </c>
      <c r="J8" s="15"/>
    </row>
    <row r="9" spans="1:11" ht="15">
      <c r="A9" s="20" t="s">
        <v>259</v>
      </c>
      <c r="B9" t="s">
        <v>260</v>
      </c>
      <c r="C9" s="21">
        <f>+'[1]Detailed Budget Worksheet'!R190</f>
        <v>39930.36</v>
      </c>
      <c r="D9" s="21"/>
      <c r="E9" s="21">
        <f>+'[1]Detailed Budget Worksheet'!P190</f>
        <v>39930.36</v>
      </c>
      <c r="F9" s="10"/>
      <c r="G9" s="10">
        <v>0</v>
      </c>
      <c r="H9" s="10">
        <f>+C9</f>
        <v>39930.36</v>
      </c>
      <c r="J9" s="15"/>
    </row>
    <row r="10" spans="1:11" ht="15">
      <c r="A10" s="13" t="s">
        <v>261</v>
      </c>
      <c r="B10" t="s">
        <v>262</v>
      </c>
      <c r="C10" s="64">
        <f>+'[1]Detailed Budget Worksheet'!R186</f>
        <v>9638</v>
      </c>
      <c r="D10" s="21"/>
      <c r="E10" s="64">
        <f>+'[1]Detailed Budget Worksheet'!P186</f>
        <v>9638</v>
      </c>
      <c r="F10" s="10"/>
      <c r="G10" s="22">
        <f t="shared" ref="G10" si="1">+E10-C10</f>
        <v>0</v>
      </c>
      <c r="H10" s="22">
        <v>0</v>
      </c>
      <c r="J10" s="15" t="s">
        <v>263</v>
      </c>
      <c r="K10" s="15"/>
    </row>
    <row r="11" spans="1:11">
      <c r="C11" s="21">
        <f>SUM(C4:C10)</f>
        <v>164188.82</v>
      </c>
      <c r="D11" s="21"/>
      <c r="E11" s="21">
        <f>SUM(E4:E10)</f>
        <v>145305.90000000002</v>
      </c>
      <c r="F11" s="10"/>
      <c r="G11" s="10">
        <f>SUM(G4:G10)</f>
        <v>0</v>
      </c>
      <c r="H11" s="10">
        <f>SUM(H4:H10)</f>
        <v>135667.90000000002</v>
      </c>
      <c r="J11" t="s">
        <v>213</v>
      </c>
      <c r="K11" s="15"/>
    </row>
    <row r="12" spans="1:11" ht="15.75" thickBot="1">
      <c r="C12" s="10"/>
      <c r="D12" s="10"/>
      <c r="E12" s="10"/>
      <c r="F12" s="10"/>
      <c r="G12" s="10"/>
      <c r="H12" s="23">
        <f>SUM(H11:H11)</f>
        <v>135667.90000000002</v>
      </c>
      <c r="I12" s="13"/>
      <c r="J12" s="13" t="s">
        <v>264</v>
      </c>
    </row>
    <row r="13" spans="1:11" ht="15" thickTop="1">
      <c r="C13" s="10"/>
      <c r="D13" s="10"/>
      <c r="E13" s="10"/>
      <c r="F13" s="10"/>
      <c r="G13" s="10"/>
      <c r="H13" s="10"/>
    </row>
    <row r="15" spans="1:11">
      <c r="E15" s="19"/>
      <c r="H15" s="10">
        <v>650320</v>
      </c>
      <c r="J15" t="s">
        <v>347</v>
      </c>
    </row>
    <row r="16" spans="1:11">
      <c r="H16" s="10">
        <v>135667.9</v>
      </c>
      <c r="J16" t="s">
        <v>348</v>
      </c>
    </row>
    <row r="17" spans="8:10" ht="15" thickBot="1">
      <c r="H17" s="97">
        <f>+H15+H16</f>
        <v>785987.9</v>
      </c>
      <c r="J17" t="s">
        <v>349</v>
      </c>
    </row>
    <row r="18" spans="8:10" ht="15" thickTop="1"/>
    <row r="19" spans="8:10">
      <c r="H19" s="10"/>
    </row>
    <row r="21" spans="8:10">
      <c r="H21" s="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17"/>
  <sheetViews>
    <sheetView zoomScaleNormal="100" workbookViewId="0">
      <selection activeCell="O10" sqref="O10"/>
    </sheetView>
  </sheetViews>
  <sheetFormatPr defaultRowHeight="14.25"/>
  <cols>
    <col min="5" max="5" width="18.125" bestFit="1" customWidth="1"/>
    <col min="6" max="6" width="15.5" bestFit="1" customWidth="1"/>
    <col min="9" max="9" width="12.75" bestFit="1" customWidth="1"/>
    <col min="12" max="12" width="12.125" style="78" bestFit="1" customWidth="1"/>
    <col min="15" max="15" width="10.875" bestFit="1" customWidth="1"/>
    <col min="16" max="16" width="12.5" customWidth="1"/>
  </cols>
  <sheetData>
    <row r="1" spans="3:16" ht="15" thickBot="1">
      <c r="H1">
        <v>96</v>
      </c>
      <c r="I1" t="s">
        <v>314</v>
      </c>
      <c r="J1" s="55">
        <v>571</v>
      </c>
      <c r="K1" t="s">
        <v>315</v>
      </c>
      <c r="L1" s="96" t="s">
        <v>332</v>
      </c>
      <c r="M1" s="55"/>
      <c r="N1" s="55"/>
    </row>
    <row r="2" spans="3:16">
      <c r="C2" s="79"/>
      <c r="D2" s="80">
        <v>2027</v>
      </c>
      <c r="E2" s="81">
        <v>0.05</v>
      </c>
      <c r="F2" s="82" t="s">
        <v>316</v>
      </c>
      <c r="H2">
        <v>65</v>
      </c>
      <c r="I2" t="s">
        <v>317</v>
      </c>
    </row>
    <row r="3" spans="3:16" ht="15" thickBot="1">
      <c r="C3" s="83" t="s">
        <v>318</v>
      </c>
      <c r="D3" s="84">
        <v>11.25</v>
      </c>
      <c r="E3" t="s">
        <v>319</v>
      </c>
      <c r="F3" s="85" t="s">
        <v>213</v>
      </c>
    </row>
    <row r="4" spans="3:16" ht="15">
      <c r="C4" s="83"/>
      <c r="D4" s="84">
        <v>3.75</v>
      </c>
      <c r="E4" t="s">
        <v>320</v>
      </c>
      <c r="F4" s="85" t="s">
        <v>213</v>
      </c>
      <c r="I4" s="78">
        <f>4.46+9.6</f>
        <v>14.059999999999999</v>
      </c>
      <c r="J4" t="s">
        <v>321</v>
      </c>
      <c r="L4" s="78" t="str">
        <f>+C3</f>
        <v>Republic</v>
      </c>
      <c r="O4" s="98" t="s">
        <v>334</v>
      </c>
      <c r="P4" s="99"/>
    </row>
    <row r="5" spans="3:16" s="88" customFormat="1" ht="15.75" thickBot="1">
      <c r="C5" s="86"/>
      <c r="D5" s="87">
        <f>+D3+D4</f>
        <v>15</v>
      </c>
      <c r="E5" s="88" t="s">
        <v>322</v>
      </c>
      <c r="F5" s="89">
        <v>17.25</v>
      </c>
      <c r="L5" s="78">
        <f>+D5*J1*12</f>
        <v>102780</v>
      </c>
      <c r="M5" s="90" t="s">
        <v>323</v>
      </c>
      <c r="O5" s="100">
        <f>+D3*J1*12</f>
        <v>77085</v>
      </c>
      <c r="P5" s="101" t="s">
        <v>319</v>
      </c>
    </row>
    <row r="6" spans="3:16" ht="16.5" thickTop="1" thickBot="1">
      <c r="C6" s="91"/>
      <c r="D6" s="17"/>
      <c r="E6" s="17"/>
      <c r="F6" s="92" t="s">
        <v>324</v>
      </c>
      <c r="L6" s="78">
        <f>+L5*1.05</f>
        <v>107919</v>
      </c>
      <c r="M6" s="51" t="s">
        <v>325</v>
      </c>
      <c r="O6" s="100">
        <f>+D4*J1*12</f>
        <v>25695</v>
      </c>
      <c r="P6" s="102" t="s">
        <v>333</v>
      </c>
    </row>
    <row r="7" spans="3:16" ht="15.75" thickBot="1">
      <c r="O7" s="103">
        <f>SUM(O5:O6)</f>
        <v>102780</v>
      </c>
      <c r="P7" s="104" t="s">
        <v>335</v>
      </c>
    </row>
    <row r="8" spans="3:16">
      <c r="C8" s="79"/>
      <c r="D8" s="80">
        <v>2027</v>
      </c>
      <c r="E8" s="81">
        <v>0.04</v>
      </c>
      <c r="F8" s="82" t="s">
        <v>316</v>
      </c>
      <c r="G8" t="s">
        <v>326</v>
      </c>
      <c r="H8" s="93">
        <v>3.5000000000000003E-2</v>
      </c>
    </row>
    <row r="9" spans="3:16">
      <c r="C9" s="83" t="s">
        <v>327</v>
      </c>
      <c r="D9" s="84">
        <v>10.75</v>
      </c>
      <c r="E9" t="s">
        <v>319</v>
      </c>
      <c r="F9" s="85" t="s">
        <v>328</v>
      </c>
      <c r="G9">
        <v>10.25</v>
      </c>
    </row>
    <row r="10" spans="3:16">
      <c r="C10" s="83"/>
      <c r="D10" s="84">
        <v>6</v>
      </c>
      <c r="E10" t="s">
        <v>320</v>
      </c>
      <c r="F10" s="85"/>
      <c r="G10">
        <v>5.5</v>
      </c>
    </row>
    <row r="11" spans="3:16" ht="15.75" thickBot="1">
      <c r="C11" s="86"/>
      <c r="D11" s="87">
        <f>+D9+D10</f>
        <v>16.75</v>
      </c>
      <c r="E11" s="88" t="s">
        <v>322</v>
      </c>
      <c r="F11" s="89">
        <f>+D11+4</f>
        <v>20.75</v>
      </c>
      <c r="G11">
        <f>SUM(G9:G10)</f>
        <v>15.75</v>
      </c>
      <c r="L11" s="78" t="str">
        <f>+C9</f>
        <v>Pelliterri</v>
      </c>
    </row>
    <row r="12" spans="3:16" ht="16.5" thickTop="1" thickBot="1">
      <c r="C12" s="91"/>
      <c r="D12" s="17"/>
      <c r="E12" s="17"/>
      <c r="F12" s="92" t="s">
        <v>324</v>
      </c>
      <c r="L12" s="78">
        <f>+D11*J1*12</f>
        <v>114771</v>
      </c>
      <c r="M12" s="51" t="s">
        <v>323</v>
      </c>
    </row>
    <row r="13" spans="3:16">
      <c r="D13" t="s">
        <v>329</v>
      </c>
      <c r="L13" s="78">
        <f>+L12*1.04</f>
        <v>119361.84000000001</v>
      </c>
      <c r="M13" s="51" t="s">
        <v>325</v>
      </c>
    </row>
    <row r="14" spans="3:16">
      <c r="E14" t="s">
        <v>330</v>
      </c>
    </row>
    <row r="16" spans="3:16" ht="15.75" thickBot="1">
      <c r="L16" s="94">
        <f>+L12-L5</f>
        <v>11991</v>
      </c>
      <c r="M16" s="95" t="s">
        <v>331</v>
      </c>
      <c r="N16" s="95">
        <v>2027</v>
      </c>
    </row>
    <row r="17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2027 Budget -Draft</vt:lpstr>
      <vt:lpstr>2027 Budget Summary</vt:lpstr>
      <vt:lpstr>Debt Service &amp; Levy Calculation</vt:lpstr>
      <vt:lpstr>Trash &amp; Recycling</vt:lpstr>
      <vt:lpstr>'2027 Budget -Draft'!Print_Area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TCPClerk</cp:lastModifiedBy>
  <cp:lastPrinted>2026-10-15T01:19:51Z</cp:lastPrinted>
  <dcterms:created xsi:type="dcterms:W3CDTF">2024-06-09T22:22:57Z</dcterms:created>
  <dcterms:modified xsi:type="dcterms:W3CDTF">2026-10-15T01:21:58Z</dcterms:modified>
</cp:coreProperties>
</file>