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nni\Documents\TCP\2026 Budget\"/>
    </mc:Choice>
  </mc:AlternateContent>
  <xr:revisionPtr revIDLastSave="0" documentId="8_{55E7CB2B-929A-4F3A-A549-020CA88F52DF}" xr6:coauthVersionLast="47" xr6:coauthVersionMax="47" xr10:uidLastSave="{00000000-0000-0000-0000-000000000000}"/>
  <bookViews>
    <workbookView xWindow="-103" yWindow="-103" windowWidth="22149" windowHeight="13200" tabRatio="863" xr2:uid="{00000000-000D-0000-FFFF-FFFF00000000}"/>
  </bookViews>
  <sheets>
    <sheet name="YTD Budget Performance " sheetId="2" r:id="rId1"/>
    <sheet name="Profit &amp; Loss Stmt by Month" sheetId="1" r:id="rId2"/>
    <sheet name="7-31-2026 Balance Sheet" sheetId="3" r:id="rId3"/>
    <sheet name="July Profit &amp; Loss Detail " sheetId="4" r:id="rId4"/>
    <sheet name="YTD Profit &amp; Loss Detail" sheetId="5" r:id="rId5"/>
  </sheets>
  <definedNames>
    <definedName name="_xlnm.Print_Area" localSheetId="2">'7-31-2026 Balance Sheet'!$A$1:$C$56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2" l="1"/>
  <c r="C30" i="2"/>
  <c r="B30" i="2"/>
  <c r="F18" i="2"/>
  <c r="D18" i="2"/>
  <c r="C18" i="2"/>
  <c r="B18" i="2"/>
  <c r="H1004" i="5"/>
  <c r="C154" i="1"/>
  <c r="E9" i="2"/>
  <c r="C9" i="2"/>
  <c r="B9" i="2"/>
  <c r="F29" i="2"/>
  <c r="F28" i="2"/>
  <c r="F27" i="2"/>
  <c r="F26" i="2"/>
  <c r="F24" i="2"/>
  <c r="F23" i="2"/>
  <c r="F22" i="2"/>
  <c r="F21" i="2"/>
  <c r="F30" i="2" s="1"/>
  <c r="F17" i="2"/>
  <c r="F16" i="2"/>
  <c r="F15" i="2"/>
  <c r="F14" i="2"/>
  <c r="F13" i="2"/>
  <c r="F12" i="2"/>
  <c r="F11" i="2"/>
  <c r="F9" i="2"/>
  <c r="F19" i="2" s="1"/>
  <c r="F31" i="2" s="1"/>
  <c r="F8" i="2"/>
  <c r="C34" i="2"/>
  <c r="E34" i="2" s="1"/>
  <c r="E33" i="2"/>
  <c r="B33" i="2"/>
  <c r="B34" i="2" s="1"/>
  <c r="E29" i="2"/>
  <c r="C29" i="2"/>
  <c r="B29" i="2"/>
  <c r="D29" i="2" s="1"/>
  <c r="C28" i="2"/>
  <c r="E28" i="2" s="1"/>
  <c r="B28" i="2"/>
  <c r="E27" i="2"/>
  <c r="C27" i="2"/>
  <c r="B27" i="2"/>
  <c r="D27" i="2" s="1"/>
  <c r="C26" i="2"/>
  <c r="C25" i="2"/>
  <c r="D25" i="2" s="1"/>
  <c r="C24" i="2"/>
  <c r="B24" i="2"/>
  <c r="D24" i="2" s="1"/>
  <c r="C23" i="2"/>
  <c r="E23" i="2" s="1"/>
  <c r="B23" i="2"/>
  <c r="D23" i="2" s="1"/>
  <c r="C22" i="2"/>
  <c r="B22" i="2"/>
  <c r="D22" i="2" s="1"/>
  <c r="E21" i="2"/>
  <c r="D21" i="2"/>
  <c r="C21" i="2"/>
  <c r="B21" i="2"/>
  <c r="C17" i="2"/>
  <c r="E17" i="2" s="1"/>
  <c r="B17" i="2"/>
  <c r="E16" i="2"/>
  <c r="D16" i="2"/>
  <c r="C16" i="2"/>
  <c r="B16" i="2"/>
  <c r="C15" i="2"/>
  <c r="E15" i="2" s="1"/>
  <c r="D14" i="2"/>
  <c r="C14" i="2"/>
  <c r="E14" i="2" s="1"/>
  <c r="B14" i="2"/>
  <c r="C13" i="2"/>
  <c r="B13" i="2"/>
  <c r="C12" i="2"/>
  <c r="B12" i="2"/>
  <c r="E12" i="2" s="1"/>
  <c r="C11" i="2"/>
  <c r="B11" i="2"/>
  <c r="D11" i="2" s="1"/>
  <c r="C8" i="2"/>
  <c r="B8" i="2"/>
  <c r="D9" i="2" l="1"/>
  <c r="D12" i="2"/>
  <c r="D13" i="2"/>
  <c r="E24" i="2"/>
  <c r="D28" i="2"/>
  <c r="E22" i="2"/>
  <c r="E25" i="2"/>
  <c r="C35" i="2"/>
  <c r="E35" i="2" s="1"/>
  <c r="E11" i="2"/>
  <c r="D17" i="2"/>
  <c r="D34" i="2"/>
  <c r="B35" i="2"/>
  <c r="D35" i="2" s="1"/>
  <c r="B19" i="2"/>
  <c r="D33" i="2"/>
  <c r="D15" i="2"/>
  <c r="D8" i="2"/>
  <c r="E8" i="2"/>
  <c r="E18" i="2" l="1"/>
  <c r="C19" i="2"/>
  <c r="D19" i="2"/>
  <c r="C31" i="2"/>
  <c r="E19" i="2"/>
  <c r="C36" i="2" l="1"/>
  <c r="B55" i="3" l="1"/>
  <c r="B44" i="3"/>
  <c r="B39" i="3"/>
  <c r="B46" i="3" s="1"/>
  <c r="B47" i="3" s="1"/>
  <c r="B31" i="3"/>
  <c r="B32" i="3" s="1"/>
  <c r="B33" i="3" s="1"/>
  <c r="B24" i="3"/>
  <c r="B14" i="3"/>
  <c r="B16" i="3" s="1"/>
  <c r="B17" i="3" s="1"/>
  <c r="B18" i="3" s="1"/>
  <c r="I991" i="5"/>
  <c r="I992" i="5" s="1"/>
  <c r="I993" i="5" s="1"/>
  <c r="I994" i="5" s="1"/>
  <c r="I995" i="5" s="1"/>
  <c r="I996" i="5" s="1"/>
  <c r="I990" i="5"/>
  <c r="I987" i="5"/>
  <c r="H1005" i="5"/>
  <c r="I1008" i="5"/>
  <c r="I1009" i="5" s="1"/>
  <c r="I1010" i="5" s="1"/>
  <c r="I1011" i="5" s="1"/>
  <c r="I1012" i="5" s="1"/>
  <c r="I1013" i="5" s="1"/>
  <c r="I1007" i="5"/>
  <c r="I1016" i="5"/>
  <c r="H1016" i="5"/>
  <c r="H1017" i="5" s="1"/>
  <c r="H1178" i="5"/>
  <c r="H1179" i="5" s="1"/>
  <c r="H1169" i="5"/>
  <c r="H1159" i="5"/>
  <c r="H1170" i="5" s="1"/>
  <c r="H1140" i="5"/>
  <c r="H1141" i="5" s="1"/>
  <c r="H1129" i="5"/>
  <c r="H1124" i="5"/>
  <c r="H1093" i="5"/>
  <c r="H1070" i="5"/>
  <c r="H1059" i="5"/>
  <c r="H1028" i="5"/>
  <c r="H1014" i="5"/>
  <c r="H1000" i="5"/>
  <c r="H997" i="5"/>
  <c r="H988" i="5"/>
  <c r="H982" i="5"/>
  <c r="H979" i="5"/>
  <c r="H983" i="5" s="1"/>
  <c r="H974" i="5"/>
  <c r="H969" i="5"/>
  <c r="H966" i="5"/>
  <c r="H962" i="5"/>
  <c r="H933" i="5"/>
  <c r="H918" i="5"/>
  <c r="H909" i="5"/>
  <c r="H856" i="5"/>
  <c r="H829" i="5"/>
  <c r="H799" i="5"/>
  <c r="H795" i="5"/>
  <c r="H791" i="5"/>
  <c r="H800" i="5" s="1"/>
  <c r="H779" i="5"/>
  <c r="H780" i="5" s="1"/>
  <c r="H767" i="5"/>
  <c r="H754" i="5"/>
  <c r="H751" i="5"/>
  <c r="H745" i="5"/>
  <c r="H739" i="5"/>
  <c r="H726" i="5"/>
  <c r="H716" i="5"/>
  <c r="H708" i="5"/>
  <c r="H700" i="5"/>
  <c r="H684" i="5"/>
  <c r="H678" i="5"/>
  <c r="H671" i="5"/>
  <c r="H655" i="5"/>
  <c r="H652" i="5"/>
  <c r="H651" i="5"/>
  <c r="H648" i="5"/>
  <c r="H642" i="5"/>
  <c r="H639" i="5"/>
  <c r="H635" i="5"/>
  <c r="H628" i="5"/>
  <c r="H627" i="5"/>
  <c r="H623" i="5"/>
  <c r="H619" i="5"/>
  <c r="H614" i="5"/>
  <c r="H615" i="5" s="1"/>
  <c r="H577" i="5"/>
  <c r="H567" i="5"/>
  <c r="H563" i="5"/>
  <c r="H555" i="5"/>
  <c r="H551" i="5"/>
  <c r="H545" i="5"/>
  <c r="H522" i="5"/>
  <c r="H517" i="5"/>
  <c r="H503" i="5"/>
  <c r="H495" i="5"/>
  <c r="H488" i="5"/>
  <c r="H479" i="5"/>
  <c r="H476" i="5"/>
  <c r="H459" i="5"/>
  <c r="H422" i="5"/>
  <c r="H407" i="5"/>
  <c r="H404" i="5"/>
  <c r="H352" i="5"/>
  <c r="H341" i="5"/>
  <c r="H342" i="5" s="1"/>
  <c r="H307" i="5"/>
  <c r="H247" i="5"/>
  <c r="H191" i="5"/>
  <c r="H185" i="5"/>
  <c r="H177" i="5"/>
  <c r="H176" i="5"/>
  <c r="H171" i="5"/>
  <c r="H157" i="5"/>
  <c r="H154" i="5"/>
  <c r="H150" i="5"/>
  <c r="H147" i="5"/>
  <c r="H122" i="5"/>
  <c r="H117" i="5"/>
  <c r="H114" i="5"/>
  <c r="H110" i="5"/>
  <c r="H102" i="5"/>
  <c r="H86" i="5"/>
  <c r="H75" i="5"/>
  <c r="H72" i="5"/>
  <c r="H63" i="5"/>
  <c r="H60" i="5"/>
  <c r="H57" i="5"/>
  <c r="H54" i="5"/>
  <c r="H51" i="5"/>
  <c r="H46" i="5"/>
  <c r="H43" i="5"/>
  <c r="H40" i="5"/>
  <c r="H37" i="5"/>
  <c r="H12" i="5"/>
  <c r="H282" i="4"/>
  <c r="I279" i="4"/>
  <c r="I274" i="4"/>
  <c r="H331" i="4"/>
  <c r="H332" i="4" s="1"/>
  <c r="H322" i="4"/>
  <c r="H319" i="4"/>
  <c r="H323" i="4" s="1"/>
  <c r="H313" i="4"/>
  <c r="H309" i="4"/>
  <c r="H302" i="4"/>
  <c r="H297" i="4"/>
  <c r="H293" i="4"/>
  <c r="H314" i="4" s="1"/>
  <c r="H285" i="4"/>
  <c r="H280" i="4"/>
  <c r="H281" i="4" s="1"/>
  <c r="H275" i="4"/>
  <c r="H276" i="4" s="1"/>
  <c r="H267" i="4"/>
  <c r="H264" i="4"/>
  <c r="H268" i="4" s="1"/>
  <c r="H259" i="4"/>
  <c r="H258" i="4"/>
  <c r="H255" i="4"/>
  <c r="H252" i="4"/>
  <c r="H241" i="4"/>
  <c r="H231" i="4"/>
  <c r="H223" i="4"/>
  <c r="H220" i="4"/>
  <c r="H213" i="4"/>
  <c r="H208" i="4"/>
  <c r="H205" i="4"/>
  <c r="H209" i="4" s="1"/>
  <c r="H202" i="4"/>
  <c r="H198" i="4"/>
  <c r="H191" i="4"/>
  <c r="H185" i="4"/>
  <c r="H186" i="4" s="1"/>
  <c r="H192" i="4" s="1"/>
  <c r="H178" i="4"/>
  <c r="H179" i="4" s="1"/>
  <c r="H174" i="4"/>
  <c r="H173" i="4"/>
  <c r="H158" i="4"/>
  <c r="H155" i="4"/>
  <c r="H152" i="4"/>
  <c r="H149" i="4"/>
  <c r="H144" i="4"/>
  <c r="H139" i="4"/>
  <c r="H136" i="4"/>
  <c r="H131" i="4"/>
  <c r="H132" i="4" s="1"/>
  <c r="H126" i="4"/>
  <c r="H117" i="4"/>
  <c r="H114" i="4"/>
  <c r="H127" i="4" s="1"/>
  <c r="H102" i="4"/>
  <c r="H97" i="4"/>
  <c r="H98" i="4" s="1"/>
  <c r="H90" i="4"/>
  <c r="H99" i="4" s="1"/>
  <c r="H65" i="4"/>
  <c r="H49" i="4"/>
  <c r="H46" i="4"/>
  <c r="H45" i="4"/>
  <c r="H40" i="4"/>
  <c r="H37" i="4"/>
  <c r="H30" i="4"/>
  <c r="H31" i="4" s="1"/>
  <c r="H25" i="4"/>
  <c r="H22" i="4"/>
  <c r="H11" i="4"/>
  <c r="H12" i="4" s="1"/>
  <c r="C156" i="1"/>
  <c r="I154" i="1"/>
  <c r="I150" i="1"/>
  <c r="H176" i="1"/>
  <c r="H177" i="1" s="1"/>
  <c r="G176" i="1"/>
  <c r="G177" i="1" s="1"/>
  <c r="F176" i="1"/>
  <c r="F177" i="1" s="1"/>
  <c r="E176" i="1"/>
  <c r="E177" i="1" s="1"/>
  <c r="D176" i="1"/>
  <c r="D177" i="1" s="1"/>
  <c r="C176" i="1"/>
  <c r="C177" i="1" s="1"/>
  <c r="B176" i="1"/>
  <c r="I175" i="1"/>
  <c r="H171" i="1"/>
  <c r="G171" i="1"/>
  <c r="F171" i="1"/>
  <c r="E171" i="1"/>
  <c r="D171" i="1"/>
  <c r="C171" i="1"/>
  <c r="B171" i="1"/>
  <c r="I170" i="1"/>
  <c r="I169" i="1"/>
  <c r="H167" i="1"/>
  <c r="G167" i="1"/>
  <c r="F167" i="1"/>
  <c r="E167" i="1"/>
  <c r="D167" i="1"/>
  <c r="C167" i="1"/>
  <c r="B167" i="1"/>
  <c r="I167" i="1" s="1"/>
  <c r="I166" i="1"/>
  <c r="I165" i="1"/>
  <c r="I164" i="1"/>
  <c r="I163" i="1"/>
  <c r="I162" i="1"/>
  <c r="I161" i="1"/>
  <c r="I159" i="1"/>
  <c r="H157" i="1"/>
  <c r="H158" i="1" s="1"/>
  <c r="G157" i="1"/>
  <c r="F157" i="1"/>
  <c r="E157" i="1"/>
  <c r="D157" i="1"/>
  <c r="C157" i="1"/>
  <c r="B157" i="1"/>
  <c r="B158" i="1" s="1"/>
  <c r="I156" i="1"/>
  <c r="I155" i="1"/>
  <c r="H152" i="1"/>
  <c r="G152" i="1"/>
  <c r="F152" i="1"/>
  <c r="F158" i="1" s="1"/>
  <c r="E152" i="1"/>
  <c r="E158" i="1" s="1"/>
  <c r="D152" i="1"/>
  <c r="D158" i="1" s="1"/>
  <c r="C152" i="1"/>
  <c r="B152" i="1"/>
  <c r="I151" i="1"/>
  <c r="I149" i="1"/>
  <c r="H146" i="1"/>
  <c r="G146" i="1"/>
  <c r="F146" i="1"/>
  <c r="E146" i="1"/>
  <c r="D146" i="1"/>
  <c r="C146" i="1"/>
  <c r="B146" i="1"/>
  <c r="I145" i="1"/>
  <c r="I144" i="1"/>
  <c r="I141" i="1"/>
  <c r="H139" i="1"/>
  <c r="G139" i="1"/>
  <c r="F139" i="1"/>
  <c r="E139" i="1"/>
  <c r="D139" i="1"/>
  <c r="C139" i="1"/>
  <c r="B139" i="1"/>
  <c r="I138" i="1"/>
  <c r="I137" i="1"/>
  <c r="I136" i="1"/>
  <c r="H135" i="1"/>
  <c r="G135" i="1"/>
  <c r="F135" i="1"/>
  <c r="E135" i="1"/>
  <c r="D135" i="1"/>
  <c r="C135" i="1"/>
  <c r="B135" i="1"/>
  <c r="I134" i="1"/>
  <c r="I133" i="1"/>
  <c r="I132" i="1"/>
  <c r="I131" i="1"/>
  <c r="I130" i="1"/>
  <c r="H128" i="1"/>
  <c r="G128" i="1"/>
  <c r="F128" i="1"/>
  <c r="E128" i="1"/>
  <c r="D128" i="1"/>
  <c r="C128" i="1"/>
  <c r="B128" i="1"/>
  <c r="I127" i="1"/>
  <c r="I126" i="1"/>
  <c r="I125" i="1"/>
  <c r="H122" i="1"/>
  <c r="H123" i="1" s="1"/>
  <c r="H140" i="1" s="1"/>
  <c r="G122" i="1"/>
  <c r="G123" i="1" s="1"/>
  <c r="G140" i="1" s="1"/>
  <c r="F122" i="1"/>
  <c r="F123" i="1" s="1"/>
  <c r="E122" i="1"/>
  <c r="E123" i="1" s="1"/>
  <c r="D122" i="1"/>
  <c r="D123" i="1" s="1"/>
  <c r="D140" i="1" s="1"/>
  <c r="C122" i="1"/>
  <c r="C123" i="1" s="1"/>
  <c r="B122" i="1"/>
  <c r="B123" i="1" s="1"/>
  <c r="I121" i="1"/>
  <c r="I119" i="1"/>
  <c r="I118" i="1"/>
  <c r="I117" i="1"/>
  <c r="I116" i="1"/>
  <c r="I115" i="1"/>
  <c r="I110" i="1"/>
  <c r="H109" i="1"/>
  <c r="H111" i="1" s="1"/>
  <c r="H112" i="1" s="1"/>
  <c r="G109" i="1"/>
  <c r="G111" i="1" s="1"/>
  <c r="G112" i="1" s="1"/>
  <c r="F109" i="1"/>
  <c r="F111" i="1" s="1"/>
  <c r="F112" i="1" s="1"/>
  <c r="E109" i="1"/>
  <c r="E111" i="1" s="1"/>
  <c r="E112" i="1" s="1"/>
  <c r="D109" i="1"/>
  <c r="D111" i="1" s="1"/>
  <c r="D112" i="1" s="1"/>
  <c r="D142" i="1" s="1"/>
  <c r="C109" i="1"/>
  <c r="B109" i="1"/>
  <c r="B111" i="1" s="1"/>
  <c r="B112" i="1" s="1"/>
  <c r="I108" i="1"/>
  <c r="I107" i="1"/>
  <c r="I106" i="1"/>
  <c r="I105" i="1"/>
  <c r="I104" i="1"/>
  <c r="I99" i="1"/>
  <c r="I98" i="1"/>
  <c r="H97" i="1"/>
  <c r="G97" i="1"/>
  <c r="F97" i="1"/>
  <c r="E97" i="1"/>
  <c r="D97" i="1"/>
  <c r="C97" i="1"/>
  <c r="B97" i="1"/>
  <c r="B100" i="1" s="1"/>
  <c r="I96" i="1"/>
  <c r="I95" i="1"/>
  <c r="H93" i="1"/>
  <c r="H100" i="1" s="1"/>
  <c r="G93" i="1"/>
  <c r="G100" i="1" s="1"/>
  <c r="F93" i="1"/>
  <c r="E93" i="1"/>
  <c r="E100" i="1" s="1"/>
  <c r="D93" i="1"/>
  <c r="D100" i="1" s="1"/>
  <c r="C93" i="1"/>
  <c r="B93" i="1"/>
  <c r="I92" i="1"/>
  <c r="I91" i="1"/>
  <c r="I90" i="1"/>
  <c r="H86" i="1"/>
  <c r="G86" i="1"/>
  <c r="F86" i="1"/>
  <c r="E86" i="1"/>
  <c r="D86" i="1"/>
  <c r="C86" i="1"/>
  <c r="B86" i="1"/>
  <c r="I85" i="1"/>
  <c r="I84" i="1"/>
  <c r="I83" i="1"/>
  <c r="H81" i="1"/>
  <c r="G81" i="1"/>
  <c r="F81" i="1"/>
  <c r="E81" i="1"/>
  <c r="D81" i="1"/>
  <c r="C81" i="1"/>
  <c r="B81" i="1"/>
  <c r="I80" i="1"/>
  <c r="H77" i="1"/>
  <c r="G77" i="1"/>
  <c r="F77" i="1"/>
  <c r="E77" i="1"/>
  <c r="D77" i="1"/>
  <c r="C77" i="1"/>
  <c r="B77" i="1"/>
  <c r="I76" i="1"/>
  <c r="I75" i="1"/>
  <c r="I74" i="1"/>
  <c r="I73" i="1"/>
  <c r="I72" i="1"/>
  <c r="I71" i="1"/>
  <c r="I70" i="1"/>
  <c r="I69" i="1"/>
  <c r="I68" i="1"/>
  <c r="I67" i="1"/>
  <c r="H65" i="1"/>
  <c r="G65" i="1"/>
  <c r="F65" i="1"/>
  <c r="E65" i="1"/>
  <c r="D65" i="1"/>
  <c r="C65" i="1"/>
  <c r="B65" i="1"/>
  <c r="I64" i="1"/>
  <c r="I63" i="1"/>
  <c r="I62" i="1"/>
  <c r="I60" i="1"/>
  <c r="H60" i="1"/>
  <c r="G60" i="1"/>
  <c r="G78" i="1" s="1"/>
  <c r="F60" i="1"/>
  <c r="E60" i="1"/>
  <c r="D60" i="1"/>
  <c r="C60" i="1"/>
  <c r="B60" i="1"/>
  <c r="B78" i="1" s="1"/>
  <c r="I59" i="1"/>
  <c r="I58" i="1"/>
  <c r="I57" i="1"/>
  <c r="I56" i="1"/>
  <c r="I54" i="1"/>
  <c r="H52" i="1"/>
  <c r="H53" i="1" s="1"/>
  <c r="G52" i="1"/>
  <c r="G53" i="1" s="1"/>
  <c r="F52" i="1"/>
  <c r="F53" i="1" s="1"/>
  <c r="E52" i="1"/>
  <c r="E53" i="1" s="1"/>
  <c r="D52" i="1"/>
  <c r="D53" i="1" s="1"/>
  <c r="C52" i="1"/>
  <c r="C53" i="1" s="1"/>
  <c r="B52" i="1"/>
  <c r="B53" i="1" s="1"/>
  <c r="I51" i="1"/>
  <c r="I49" i="1"/>
  <c r="I43" i="1"/>
  <c r="I42" i="1"/>
  <c r="I41" i="1"/>
  <c r="H40" i="1"/>
  <c r="G40" i="1"/>
  <c r="F40" i="1"/>
  <c r="E40" i="1"/>
  <c r="D40" i="1"/>
  <c r="C40" i="1"/>
  <c r="B40" i="1"/>
  <c r="I40" i="1" s="1"/>
  <c r="I39" i="1"/>
  <c r="H37" i="1"/>
  <c r="G37" i="1"/>
  <c r="F37" i="1"/>
  <c r="E37" i="1"/>
  <c r="D37" i="1"/>
  <c r="C37" i="1"/>
  <c r="B37" i="1"/>
  <c r="I36" i="1"/>
  <c r="I35" i="1"/>
  <c r="I34" i="1"/>
  <c r="I33" i="1"/>
  <c r="I32" i="1"/>
  <c r="H30" i="1"/>
  <c r="G30" i="1"/>
  <c r="F30" i="1"/>
  <c r="E30" i="1"/>
  <c r="D30" i="1"/>
  <c r="C30" i="1"/>
  <c r="B30" i="1"/>
  <c r="I29" i="1"/>
  <c r="I28" i="1"/>
  <c r="I27" i="1"/>
  <c r="I26" i="1"/>
  <c r="I25" i="1"/>
  <c r="I24" i="1"/>
  <c r="H22" i="1"/>
  <c r="G22" i="1"/>
  <c r="F22" i="1"/>
  <c r="E22" i="1"/>
  <c r="D22" i="1"/>
  <c r="C22" i="1"/>
  <c r="B22" i="1"/>
  <c r="I21" i="1"/>
  <c r="I20" i="1"/>
  <c r="I19" i="1"/>
  <c r="I18" i="1"/>
  <c r="I17" i="1"/>
  <c r="I16" i="1"/>
  <c r="I15" i="1"/>
  <c r="H13" i="1"/>
  <c r="G13" i="1"/>
  <c r="F13" i="1"/>
  <c r="E13" i="1"/>
  <c r="D13" i="1"/>
  <c r="C13" i="1"/>
  <c r="B13" i="1"/>
  <c r="I12" i="1"/>
  <c r="I11" i="1"/>
  <c r="I10" i="1"/>
  <c r="I9" i="1"/>
  <c r="I8" i="1"/>
  <c r="B48" i="3" l="1"/>
  <c r="B56" i="3" s="1"/>
  <c r="H159" i="4"/>
  <c r="H41" i="4"/>
  <c r="H214" i="4"/>
  <c r="H215" i="4" s="1"/>
  <c r="H224" i="4"/>
  <c r="H76" i="5"/>
  <c r="H172" i="5"/>
  <c r="H248" i="5" s="1"/>
  <c r="H250" i="5" s="1"/>
  <c r="H643" i="5"/>
  <c r="H672" i="5" s="1"/>
  <c r="H123" i="5"/>
  <c r="H934" i="5"/>
  <c r="H578" i="5"/>
  <c r="I1004" i="5"/>
  <c r="H47" i="5"/>
  <c r="H460" i="5"/>
  <c r="H717" i="5"/>
  <c r="H727" i="5" s="1"/>
  <c r="H728" i="5" s="1"/>
  <c r="H1001" i="5"/>
  <c r="H343" i="5"/>
  <c r="H629" i="5" s="1"/>
  <c r="H489" i="5"/>
  <c r="H781" i="5"/>
  <c r="H971" i="5" s="1"/>
  <c r="H975" i="5" s="1"/>
  <c r="H970" i="5"/>
  <c r="H1018" i="5"/>
  <c r="H1019" i="5" s="1"/>
  <c r="H579" i="5"/>
  <c r="H66" i="4"/>
  <c r="H68" i="4" s="1"/>
  <c r="H269" i="4"/>
  <c r="H270" i="4" s="1"/>
  <c r="H160" i="4"/>
  <c r="H180" i="4" s="1"/>
  <c r="I157" i="1"/>
  <c r="I152" i="1"/>
  <c r="I13" i="1"/>
  <c r="D44" i="1"/>
  <c r="D45" i="1" s="1"/>
  <c r="I37" i="1"/>
  <c r="I93" i="1"/>
  <c r="I135" i="1"/>
  <c r="I171" i="1"/>
  <c r="I176" i="1"/>
  <c r="H87" i="1"/>
  <c r="I109" i="1"/>
  <c r="C111" i="1"/>
  <c r="C112" i="1" s="1"/>
  <c r="I30" i="1"/>
  <c r="C100" i="1"/>
  <c r="I139" i="1"/>
  <c r="C44" i="1"/>
  <c r="C45" i="1" s="1"/>
  <c r="E44" i="1"/>
  <c r="E45" i="1" s="1"/>
  <c r="G44" i="1"/>
  <c r="G45" i="1" s="1"/>
  <c r="I65" i="1"/>
  <c r="I86" i="1"/>
  <c r="C140" i="1"/>
  <c r="G158" i="1"/>
  <c r="F44" i="1"/>
  <c r="F45" i="1" s="1"/>
  <c r="F78" i="1"/>
  <c r="F87" i="1" s="1"/>
  <c r="F172" i="1" s="1"/>
  <c r="F173" i="1" s="1"/>
  <c r="F178" i="1" s="1"/>
  <c r="I81" i="1"/>
  <c r="F100" i="1"/>
  <c r="I100" i="1" s="1"/>
  <c r="I128" i="1"/>
  <c r="D87" i="1"/>
  <c r="D172" i="1" s="1"/>
  <c r="D173" i="1" s="1"/>
  <c r="D178" i="1" s="1"/>
  <c r="G87" i="1"/>
  <c r="C78" i="1"/>
  <c r="C87" i="1" s="1"/>
  <c r="E140" i="1"/>
  <c r="E142" i="1" s="1"/>
  <c r="E87" i="1"/>
  <c r="H78" i="1"/>
  <c r="E78" i="1"/>
  <c r="D78" i="1"/>
  <c r="F140" i="1"/>
  <c r="F142" i="1" s="1"/>
  <c r="I146" i="1"/>
  <c r="I112" i="1"/>
  <c r="I53" i="1"/>
  <c r="B87" i="1"/>
  <c r="H142" i="1"/>
  <c r="B140" i="1"/>
  <c r="I123" i="1"/>
  <c r="G142" i="1"/>
  <c r="I22" i="1"/>
  <c r="B44" i="1"/>
  <c r="C158" i="1"/>
  <c r="I158" i="1" s="1"/>
  <c r="I52" i="1"/>
  <c r="B177" i="1"/>
  <c r="I177" i="1" s="1"/>
  <c r="H44" i="1"/>
  <c r="H45" i="1" s="1"/>
  <c r="I122" i="1"/>
  <c r="I77" i="1"/>
  <c r="I97" i="1"/>
  <c r="I111" i="1"/>
  <c r="D26" i="2" l="1"/>
  <c r="E26" i="2"/>
  <c r="H325" i="4"/>
  <c r="H334" i="4" s="1"/>
  <c r="H1171" i="5"/>
  <c r="H1172" i="5" s="1"/>
  <c r="H1181" i="5" s="1"/>
  <c r="H324" i="4"/>
  <c r="G172" i="1"/>
  <c r="G173" i="1" s="1"/>
  <c r="G178" i="1" s="1"/>
  <c r="E172" i="1"/>
  <c r="E173" i="1" s="1"/>
  <c r="E178" i="1" s="1"/>
  <c r="I140" i="1"/>
  <c r="I78" i="1"/>
  <c r="H172" i="1"/>
  <c r="H173" i="1" s="1"/>
  <c r="H178" i="1" s="1"/>
  <c r="C142" i="1"/>
  <c r="C172" i="1" s="1"/>
  <c r="C173" i="1" s="1"/>
  <c r="C178" i="1" s="1"/>
  <c r="I44" i="1"/>
  <c r="B45" i="1"/>
  <c r="I87" i="1"/>
  <c r="B142" i="1"/>
  <c r="I142" i="1" s="1"/>
  <c r="E30" i="2" l="1"/>
  <c r="B31" i="2"/>
  <c r="B172" i="1"/>
  <c r="I172" i="1" s="1"/>
  <c r="I45" i="1"/>
  <c r="E31" i="2" l="1"/>
  <c r="B36" i="2"/>
  <c r="D31" i="2"/>
  <c r="B173" i="1"/>
  <c r="E36" i="2" l="1"/>
  <c r="D36" i="2"/>
  <c r="I173" i="1"/>
  <c r="B178" i="1"/>
  <c r="I178" i="1" s="1"/>
</calcChain>
</file>

<file path=xl/sharedStrings.xml><?xml version="1.0" encoding="utf-8"?>
<sst xmlns="http://schemas.openxmlformats.org/spreadsheetml/2006/main" count="7102" uniqueCount="1083">
  <si>
    <t>Town of Cross Plains</t>
  </si>
  <si>
    <t>Profit and Loss</t>
  </si>
  <si>
    <t>January-July, 2026</t>
  </si>
  <si>
    <t>Income</t>
  </si>
  <si>
    <t>100 Taxes</t>
  </si>
  <si>
    <t>102 Special Assessments</t>
  </si>
  <si>
    <t>41110 General Property Taxes</t>
  </si>
  <si>
    <t>41150 Managed Forest Land Taxes</t>
  </si>
  <si>
    <t>41160 Prior Yrs Ommited/Refund Property Taxes</t>
  </si>
  <si>
    <t>41500 Lottery Credit</t>
  </si>
  <si>
    <t>Total for 100 Taxes</t>
  </si>
  <si>
    <t>103 Intergovernment Revenues</t>
  </si>
  <si>
    <t>43300 Other Fed Pmts(Fish &amp; Wildlife)</t>
  </si>
  <si>
    <t>43420 Fire Insurance Tax/2% fire dues</t>
  </si>
  <si>
    <t>43430 Other incl. Exempt Computer Aid</t>
  </si>
  <si>
    <t>43545 State Recycling Grant</t>
  </si>
  <si>
    <t>43610 Pmt for Municipal Services Aid</t>
  </si>
  <si>
    <t>43620 PILT-Conservation Lands</t>
  </si>
  <si>
    <t>ATC ATC Annual Payment</t>
  </si>
  <si>
    <t>Total for 103 Intergovernment Revenues</t>
  </si>
  <si>
    <t>105 Licenses and Permits</t>
  </si>
  <si>
    <t>44100 Business&amp;Occupational Licenses</t>
  </si>
  <si>
    <t>44200 Nonbusiness Licenses (incl dog)</t>
  </si>
  <si>
    <t>44300 Building Permits &amp; Inspection</t>
  </si>
  <si>
    <t>44400 Zoning Permits &amp; Fees</t>
  </si>
  <si>
    <t>44500 Driveway Fees</t>
  </si>
  <si>
    <t>Liquor License Publication Fee</t>
  </si>
  <si>
    <t>Total for 105 Licenses and Permits</t>
  </si>
  <si>
    <t>113 Interest/Div/Searches/Misc.</t>
  </si>
  <si>
    <t>48110 Interest Income</t>
  </si>
  <si>
    <t>48305 Sale of Trucks or Highway Equip</t>
  </si>
  <si>
    <t>48600 Sponsor MHFD SAP Funds</t>
  </si>
  <si>
    <t>48900 Other Misc. Revenues</t>
  </si>
  <si>
    <t>Title Searches</t>
  </si>
  <si>
    <t>Total for 113 Interest/Div/Searches/Misc.</t>
  </si>
  <si>
    <t>200 Misc. Inflows (not TCP Income)</t>
  </si>
  <si>
    <t>Park Association Income</t>
  </si>
  <si>
    <t>Total for 200 Misc. Inflows (not TCP Income)</t>
  </si>
  <si>
    <t>250 Surplus Applied</t>
  </si>
  <si>
    <t>43531 State Transportation Aids</t>
  </si>
  <si>
    <t>46743 Community Center Rental</t>
  </si>
  <si>
    <t>Total for Income</t>
  </si>
  <si>
    <t>Gross Profit</t>
  </si>
  <si>
    <t>Expenses</t>
  </si>
  <si>
    <t>118 General Government</t>
  </si>
  <si>
    <t>51100 Legislative</t>
  </si>
  <si>
    <t>51100a Board-Wages/PerDiem/Travel/FICA</t>
  </si>
  <si>
    <t>51100b Plan Commission</t>
  </si>
  <si>
    <t>PC &amp; Secretary Wages/FICA</t>
  </si>
  <si>
    <t>Total for 51100b Plan Commission</t>
  </si>
  <si>
    <t>Total for 51100 Legislative</t>
  </si>
  <si>
    <t>51300 Legal</t>
  </si>
  <si>
    <t>51400 General Administration</t>
  </si>
  <si>
    <t>51400a Clerk-Wages/PerDiem/Travel/FICA</t>
  </si>
  <si>
    <t>51400aa Clerk Health Insurance</t>
  </si>
  <si>
    <t>51400ab Clerk- Retirement</t>
  </si>
  <si>
    <t>51400ac Deputy Clerk</t>
  </si>
  <si>
    <t>Total for 51400a Clerk-Wages/PerDiem/Travel/FICA</t>
  </si>
  <si>
    <t>51400b Election</t>
  </si>
  <si>
    <t>Election Inspectors Stipends</t>
  </si>
  <si>
    <t>Election Notices</t>
  </si>
  <si>
    <t>Election Supplies/Machine Maint</t>
  </si>
  <si>
    <t>Total for 51400b Election</t>
  </si>
  <si>
    <t>51400c Adminstrative Expense</t>
  </si>
  <si>
    <t>Conference Fees</t>
  </si>
  <si>
    <t>Internet Service</t>
  </si>
  <si>
    <t>IT/Technology Expense</t>
  </si>
  <si>
    <t>Legal Notices</t>
  </si>
  <si>
    <t>Office Supplies &amp; Expenses</t>
  </si>
  <si>
    <t>Postage &amp; Delivery</t>
  </si>
  <si>
    <t>Printing</t>
  </si>
  <si>
    <t>Telephone Expense</t>
  </si>
  <si>
    <t>Town Associations Dues</t>
  </si>
  <si>
    <t>Website</t>
  </si>
  <si>
    <t>Total for 51400c Adminstrative Expense</t>
  </si>
  <si>
    <t>Total for 51400 General Administration</t>
  </si>
  <si>
    <t>51500 Financial Administration</t>
  </si>
  <si>
    <t>51500a Treasurer-Wages/PerDm/Trav/FICA</t>
  </si>
  <si>
    <t>Total for 51500 Financial Administration</t>
  </si>
  <si>
    <t>51938 Other Insurance</t>
  </si>
  <si>
    <t>Bond</t>
  </si>
  <si>
    <t>General Liability</t>
  </si>
  <si>
    <t>Insurance -Workers Compensation</t>
  </si>
  <si>
    <t>Total for 51938 Other Insurance</t>
  </si>
  <si>
    <t>Total for 118 General Government</t>
  </si>
  <si>
    <t>120 Public Safety</t>
  </si>
  <si>
    <t>52200 Fire Protection</t>
  </si>
  <si>
    <t>Cross Plains/Berry Fire Dept</t>
  </si>
  <si>
    <t>Fire Inspection</t>
  </si>
  <si>
    <t>Mount Horeb Fire Dept</t>
  </si>
  <si>
    <t>Total for 52200 Fire Protection</t>
  </si>
  <si>
    <t>52300 Ambulance/EMS</t>
  </si>
  <si>
    <t>Cross Plains/Berry EMS</t>
  </si>
  <si>
    <t>Mt. Horeb  EMS</t>
  </si>
  <si>
    <t>Total for 52300 Ambulance/EMS</t>
  </si>
  <si>
    <t>52900 OtrPublicSafety-Emgy Radio Syst</t>
  </si>
  <si>
    <t>53420 Street Lights</t>
  </si>
  <si>
    <t>Total for 120 Public Safety</t>
  </si>
  <si>
    <t>122 Transportation/Public Works</t>
  </si>
  <si>
    <t>51600 General Bldg &amp; Plant (w/Garage)</t>
  </si>
  <si>
    <t>51600b Garage Utilities/Supp/Maint.</t>
  </si>
  <si>
    <t>Garage Capital Improvements</t>
  </si>
  <si>
    <t>Lawncare/Landscaping</t>
  </si>
  <si>
    <t>Maintenance</t>
  </si>
  <si>
    <t>Telephone</t>
  </si>
  <si>
    <t>Internet</t>
  </si>
  <si>
    <t>Total for Telephone</t>
  </si>
  <si>
    <t>Utilities</t>
  </si>
  <si>
    <t>Total for 51600b Garage Utilities/Supp/Maint.</t>
  </si>
  <si>
    <t>Total for 51600 General Bldg &amp; Plant (w/Garage)</t>
  </si>
  <si>
    <t>53311 Highway &amp; Street Maintenance</t>
  </si>
  <si>
    <t>Road Maintenance</t>
  </si>
  <si>
    <t>Cell Phone-Patrolman</t>
  </si>
  <si>
    <t>Diesel</t>
  </si>
  <si>
    <t>DOT Compliance</t>
  </si>
  <si>
    <t>Equipment Rental</t>
  </si>
  <si>
    <t>Materials</t>
  </si>
  <si>
    <t>Road Projects</t>
  </si>
  <si>
    <t>Old Military Road</t>
  </si>
  <si>
    <t>Total for Road Projects</t>
  </si>
  <si>
    <t>Total for Road Maintenance</t>
  </si>
  <si>
    <t>Snow and Ice Control</t>
  </si>
  <si>
    <t>Plowing Subcontractor</t>
  </si>
  <si>
    <t>Salt and Sand Mix</t>
  </si>
  <si>
    <t>Snow Plowing Over Time w/FICA</t>
  </si>
  <si>
    <t>Total for Snow and Ice Control</t>
  </si>
  <si>
    <t>Transporation Staff Expenses</t>
  </si>
  <si>
    <t>Health Insurance</t>
  </si>
  <si>
    <t>Part Time Staff Wages &amp; FICA</t>
  </si>
  <si>
    <t>Wages &amp; FICA</t>
  </si>
  <si>
    <t>Wages &amp; FICA OT</t>
  </si>
  <si>
    <t>WI Retirement System</t>
  </si>
  <si>
    <t>Total for Transporation Staff Expenses</t>
  </si>
  <si>
    <t>Truck &amp; Equip. Repair &amp; Maint.</t>
  </si>
  <si>
    <t>2017 International</t>
  </si>
  <si>
    <t>John Deere Tractor</t>
  </si>
  <si>
    <t>Total for Truck &amp; Equip. Repair &amp; Maint.</t>
  </si>
  <si>
    <t>Total for 53311 Highway &amp; Street Maintenance</t>
  </si>
  <si>
    <t>57324 Highway Equipment Outlay</t>
  </si>
  <si>
    <t>Total for 122 Transportation/Public Works</t>
  </si>
  <si>
    <t>124 Health &amp; Human Services</t>
  </si>
  <si>
    <t>54600 Aging -incl senior citizen prgm</t>
  </si>
  <si>
    <t>CARPC-Blackk Earth Creek Watershed</t>
  </si>
  <si>
    <t>Total for 124 Health &amp; Human Services</t>
  </si>
  <si>
    <t>132 Debt Service-Interst&amp;Fiscal Chg</t>
  </si>
  <si>
    <t>58212 Fire Protectioin</t>
  </si>
  <si>
    <t>2017 CP/Berry Fire Truck Int.</t>
  </si>
  <si>
    <t>CP Fire Rapid Response Vehicle</t>
  </si>
  <si>
    <t>MHAJFD Fire Station Loan Pmt</t>
  </si>
  <si>
    <t>Total for 58212 Fire Protectioin</t>
  </si>
  <si>
    <t>Highway &amp; Street</t>
  </si>
  <si>
    <t>International Truck (2017) Int</t>
  </si>
  <si>
    <t>Road Repairs Loan interest</t>
  </si>
  <si>
    <t>Stagecoach Rd Reconst Int</t>
  </si>
  <si>
    <t>Total for Highway &amp; Street</t>
  </si>
  <si>
    <t>Total for 132 Debt Service-Interst&amp;Fiscal Chg</t>
  </si>
  <si>
    <t>51500b Town Assessor/Revaluation</t>
  </si>
  <si>
    <t>51600a Community Center Expense</t>
  </si>
  <si>
    <t>Cleaning Wages &amp; FICA</t>
  </si>
  <si>
    <t>Maintenance &amp; Cleaning Supp.</t>
  </si>
  <si>
    <t>Management Wages &amp; FICA</t>
  </si>
  <si>
    <t>Snow Removal</t>
  </si>
  <si>
    <t>Utility Bills (Gas, Electric)</t>
  </si>
  <si>
    <t>Total for 51600a Community Center Expense</t>
  </si>
  <si>
    <t>Trash/Recycling</t>
  </si>
  <si>
    <t>Recycling</t>
  </si>
  <si>
    <t>Trash</t>
  </si>
  <si>
    <t>Total for Trash/Recycling</t>
  </si>
  <si>
    <t>Total for Expenses</t>
  </si>
  <si>
    <t>Net Operating Income</t>
  </si>
  <si>
    <t>Other Expenses</t>
  </si>
  <si>
    <t>BECWA Donation (Watershed Mobel)</t>
  </si>
  <si>
    <t>Total for Other Expenses</t>
  </si>
  <si>
    <t>Net Other Income</t>
  </si>
  <si>
    <t>Net Income</t>
  </si>
  <si>
    <t/>
  </si>
  <si>
    <t>Jan 2026</t>
  </si>
  <si>
    <t>Feb 2026</t>
  </si>
  <si>
    <t>Mar 2026</t>
  </si>
  <si>
    <t>Apr 2026</t>
  </si>
  <si>
    <t>May 2026</t>
  </si>
  <si>
    <t>Jun 2026</t>
  </si>
  <si>
    <t>Jul 2026</t>
  </si>
  <si>
    <t>Total</t>
  </si>
  <si>
    <t>Profit and Loss Detail</t>
  </si>
  <si>
    <t>July 2026</t>
  </si>
  <si>
    <t>Transaction date</t>
  </si>
  <si>
    <t>Transaction type</t>
  </si>
  <si>
    <t>Num</t>
  </si>
  <si>
    <t>Name</t>
  </si>
  <si>
    <t>Description</t>
  </si>
  <si>
    <t>Item split account</t>
  </si>
  <si>
    <t>Amount</t>
  </si>
  <si>
    <t>Balance</t>
  </si>
  <si>
    <t>Ordinary Income/Expenses</t>
  </si>
  <si>
    <t>07/06/2026</t>
  </si>
  <si>
    <t>Deposit</t>
  </si>
  <si>
    <t>State of Wisconsin.</t>
  </si>
  <si>
    <t>computer aid</t>
  </si>
  <si>
    <t>Town Money Market Account</t>
  </si>
  <si>
    <t>Total for 43430 Other incl. Exempt Computer Aid</t>
  </si>
  <si>
    <t>Total for 103 Intergovernment Revenues with sub-accounts</t>
  </si>
  <si>
    <t>07/20/2026</t>
  </si>
  <si>
    <t>DBA Kurniki's (split check) Liquor License</t>
  </si>
  <si>
    <t>DBA Kurniki's (split check) Operator Licenses</t>
  </si>
  <si>
    <t>(split check) Liquor License</t>
  </si>
  <si>
    <t>(split check) Operator Licenses</t>
  </si>
  <si>
    <t>Total for 44100 Business&amp;Occupational Licenses</t>
  </si>
  <si>
    <t>Total for 44300 Building Permits &amp; Inspection</t>
  </si>
  <si>
    <t>DBA Kurniki's (split check) Newspaper Ad/Publishing Fees</t>
  </si>
  <si>
    <t>(split check) Newspaper Ad/Publishing Fees</t>
  </si>
  <si>
    <t>Total for Liquor License Publication Fee</t>
  </si>
  <si>
    <t>Total for 105 Licenses and Permits with sub-accounts</t>
  </si>
  <si>
    <t>07/31/2026</t>
  </si>
  <si>
    <t>Lake Ridge Bank</t>
  </si>
  <si>
    <t>interest</t>
  </si>
  <si>
    <t>Town Park Association Account</t>
  </si>
  <si>
    <t>INTEREST</t>
  </si>
  <si>
    <t>Town Checking Account</t>
  </si>
  <si>
    <t>Total for 48110 Interest Income</t>
  </si>
  <si>
    <t>Total for Title Searches</t>
  </si>
  <si>
    <t>Total for 113 Interest/Div/Searches/Misc. with sub-accounts</t>
  </si>
  <si>
    <t>Kalscheur Family Foundation</t>
  </si>
  <si>
    <t>donation</t>
  </si>
  <si>
    <t>Total for Park Association Income</t>
  </si>
  <si>
    <t>Total for 200 Misc. Inflows (not TCP Income) with sub-accounts</t>
  </si>
  <si>
    <t>aid</t>
  </si>
  <si>
    <t>Total for 43531 State Transportation Aids</t>
  </si>
  <si>
    <t>Parking Lot Rental for the Crud Run</t>
  </si>
  <si>
    <t>Total for 46743 Community Center Rental</t>
  </si>
  <si>
    <t>Total for Income with sub-accounts</t>
  </si>
  <si>
    <t>Cost of Goods Sold</t>
  </si>
  <si>
    <t>07/01/2026</t>
  </si>
  <si>
    <t>Check</t>
  </si>
  <si>
    <t>EFT</t>
  </si>
  <si>
    <t>Greg Hyer</t>
  </si>
  <si>
    <t>2nd qtr.</t>
  </si>
  <si>
    <t>FICA WH</t>
  </si>
  <si>
    <t>Soc Sec.</t>
  </si>
  <si>
    <t>Patty Mullins</t>
  </si>
  <si>
    <t>Soc Sec. WH</t>
  </si>
  <si>
    <t>Paul Correll</t>
  </si>
  <si>
    <t>Tom Rhude</t>
  </si>
  <si>
    <t>2nd qtr</t>
  </si>
  <si>
    <t>Soc Sec WH</t>
  </si>
  <si>
    <t>IRS</t>
  </si>
  <si>
    <t>Board</t>
  </si>
  <si>
    <t>07/16/2026</t>
  </si>
  <si>
    <t>22297</t>
  </si>
  <si>
    <t>Gregory Haack</t>
  </si>
  <si>
    <t>Total for 51100a Board-Wages/PerDiem/Travel/FICA</t>
  </si>
  <si>
    <t>Patty Hillebrand</t>
  </si>
  <si>
    <t>25.25 hours at 16.48</t>
  </si>
  <si>
    <t>Federal WH</t>
  </si>
  <si>
    <t>Total for PC &amp; Secretary Wages/FICA</t>
  </si>
  <si>
    <t>Total for 51100b Plan Commission with sub-accounts</t>
  </si>
  <si>
    <t>Total for 51100 Legislative with sub-accounts</t>
  </si>
  <si>
    <t>22312</t>
  </si>
  <si>
    <t>Stafford Rosenbaum LLP</t>
  </si>
  <si>
    <t>EMS</t>
  </si>
  <si>
    <t>Total for 51300 Legal</t>
  </si>
  <si>
    <t>Jennifer Broberg</t>
  </si>
  <si>
    <t>monthly</t>
  </si>
  <si>
    <t>State WH</t>
  </si>
  <si>
    <t>Clerk</t>
  </si>
  <si>
    <t>07/27/2026</t>
  </si>
  <si>
    <t>Wisconsin Department of Revenue</t>
  </si>
  <si>
    <t>Clerk - WI WH</t>
  </si>
  <si>
    <t>retirement contribution</t>
  </si>
  <si>
    <t>Total for 51400ab Clerk- Retirement</t>
  </si>
  <si>
    <t>Nancy Meinholz</t>
  </si>
  <si>
    <t>7.5 hours at 20.35</t>
  </si>
  <si>
    <t>Deputy Clerk</t>
  </si>
  <si>
    <t>Deputy Clerk - WI WH</t>
  </si>
  <si>
    <t>Total for 51400ac Deputy Clerk</t>
  </si>
  <si>
    <t>Total for 51400a Clerk-Wages/PerDiem/Travel/FICA with sub-accounts</t>
  </si>
  <si>
    <t>22303</t>
  </si>
  <si>
    <t>Dane County Clerk</t>
  </si>
  <si>
    <t>spring election expenses, modem &amp; directory fees</t>
  </si>
  <si>
    <t>Total for Election Supplies/Machine Maint</t>
  </si>
  <si>
    <t>Total for 51400b Election with sub-accounts</t>
  </si>
  <si>
    <t>Holiday Inn Stevens Point 6/30</t>
  </si>
  <si>
    <t>Total for Conference Fees</t>
  </si>
  <si>
    <t>07/26/2026</t>
  </si>
  <si>
    <t>ACH</t>
  </si>
  <si>
    <t>TDS Telecom</t>
  </si>
  <si>
    <t>cc internet June &amp; July bills</t>
  </si>
  <si>
    <t>Total for Internet Service</t>
  </si>
  <si>
    <t>22299</t>
  </si>
  <si>
    <t>Advance Cable Company, LLC</t>
  </si>
  <si>
    <t>cameras</t>
  </si>
  <si>
    <t>VC3, Inc.</t>
  </si>
  <si>
    <t>June Monthly bill &amp; 103.50 assistance call</t>
  </si>
  <si>
    <t>July Monthly bill</t>
  </si>
  <si>
    <t>Total for IT/Technology Expense</t>
  </si>
  <si>
    <t>DD</t>
  </si>
  <si>
    <t>Bonnie Krattiger</t>
  </si>
  <si>
    <t>printer ink</t>
  </si>
  <si>
    <t>VISA BILL quickbooks</t>
  </si>
  <si>
    <t>BOR meal</t>
  </si>
  <si>
    <t>Total for Office Supplies &amp; Expenses</t>
  </si>
  <si>
    <t>postage</t>
  </si>
  <si>
    <t>Total for Postage &amp; Delivery</t>
  </si>
  <si>
    <t>cc phone June &amp; July bills</t>
  </si>
  <si>
    <t>Total for Telephone Expense</t>
  </si>
  <si>
    <t>22306</t>
  </si>
  <si>
    <t>ISADEX Corp.</t>
  </si>
  <si>
    <t>monthly bill</t>
  </si>
  <si>
    <t>Total for Website</t>
  </si>
  <si>
    <t>Total for 51400c Adminstrative Expense with sub-accounts</t>
  </si>
  <si>
    <t>Total for 51400 General Administration with sub-accounts</t>
  </si>
  <si>
    <t>50 hours @45.00</t>
  </si>
  <si>
    <t>Treasurer</t>
  </si>
  <si>
    <t>WI WH</t>
  </si>
  <si>
    <t>Total for 51500a Treasurer-Wages/PerDm/Trav/FICA</t>
  </si>
  <si>
    <t>Total for 51500 Financial Administration with sub-accounts</t>
  </si>
  <si>
    <t>22311</t>
  </si>
  <si>
    <t>Ridgeview Insurance</t>
  </si>
  <si>
    <t>workers comp policy</t>
  </si>
  <si>
    <t>Total for Insurance -Workers Compensation</t>
  </si>
  <si>
    <t>Total for 51938 Other Insurance with sub-accounts</t>
  </si>
  <si>
    <t>Total for 118 General Government with sub-accounts</t>
  </si>
  <si>
    <t>22305</t>
  </si>
  <si>
    <t>Fire Inspection Services Inc.</t>
  </si>
  <si>
    <t>18 Inspections</t>
  </si>
  <si>
    <t>Total for Fire Inspection</t>
  </si>
  <si>
    <t>Total for 52200 Fire Protection with sub-accounts</t>
  </si>
  <si>
    <t>MG&amp;E</t>
  </si>
  <si>
    <t>Hwy J street lights June bill</t>
  </si>
  <si>
    <t>Alliant Energy</t>
  </si>
  <si>
    <t>Street lights June &amp; July bills</t>
  </si>
  <si>
    <t>Hwy J street lights</t>
  </si>
  <si>
    <t>Total for 53420 Street Lights</t>
  </si>
  <si>
    <t>Total for 120 Public Safety with sub-accounts</t>
  </si>
  <si>
    <t>22313</t>
  </si>
  <si>
    <t>Tim Zander</t>
  </si>
  <si>
    <t>Garage mowing</t>
  </si>
  <si>
    <t>Total for Lawncare/Landscaping</t>
  </si>
  <si>
    <t>22302</t>
  </si>
  <si>
    <t>Blain's Farm and Fleet</t>
  </si>
  <si>
    <t>garage</t>
  </si>
  <si>
    <t>22308</t>
  </si>
  <si>
    <t>Menard's</t>
  </si>
  <si>
    <t>maintenance - garage</t>
  </si>
  <si>
    <t>Total for Maintenance</t>
  </si>
  <si>
    <t>garage phone June &amp; July bills</t>
  </si>
  <si>
    <t>garage internet June &amp; July bills</t>
  </si>
  <si>
    <t>Total for Internet</t>
  </si>
  <si>
    <t>Total for Telephone with sub-accounts</t>
  </si>
  <si>
    <t>Garage June bill</t>
  </si>
  <si>
    <t>Garage</t>
  </si>
  <si>
    <t>Total for Utilities</t>
  </si>
  <si>
    <t>Total for 51600b Garage Utilities/Supp/Maint. with sub-accounts</t>
  </si>
  <si>
    <t>Total for 51600 General Bldg &amp; Plant (w/Garage) with sub-accounts</t>
  </si>
  <si>
    <t>22314</t>
  </si>
  <si>
    <t>Verizon</t>
  </si>
  <si>
    <t>MONTHLY BILL</t>
  </si>
  <si>
    <t>Total for Cell Phone-Patrolman</t>
  </si>
  <si>
    <t>22304</t>
  </si>
  <si>
    <t>Dane County Highway Department</t>
  </si>
  <si>
    <t>Total for Materials</t>
  </si>
  <si>
    <t>Total for Road Maintenance with sub-accounts</t>
  </si>
  <si>
    <t>Bruce R. Boehnen</t>
  </si>
  <si>
    <t>premium payment</t>
  </si>
  <si>
    <t>Delta Dental</t>
  </si>
  <si>
    <t>07/02/2026</t>
  </si>
  <si>
    <t>Patrolman - dental</t>
  </si>
  <si>
    <t>07/30/2026</t>
  </si>
  <si>
    <t>Total for Health Insurance</t>
  </si>
  <si>
    <t>Deb Boehnen</t>
  </si>
  <si>
    <t>5 hours @ 17.05</t>
  </si>
  <si>
    <t>Part Time Road Work</t>
  </si>
  <si>
    <t>22298</t>
  </si>
  <si>
    <t>Ron Brunner</t>
  </si>
  <si>
    <t>17.5 hours @ 23.87</t>
  </si>
  <si>
    <t>Total for Part Time Staff Wages &amp; FICA</t>
  </si>
  <si>
    <t>176 hours @ 36.60</t>
  </si>
  <si>
    <t>Fed WH</t>
  </si>
  <si>
    <t>Patrolman</t>
  </si>
  <si>
    <t>Patrolman - WI WH</t>
  </si>
  <si>
    <t>Total for Wages &amp; FICA</t>
  </si>
  <si>
    <t>32.25 hours at 54.90</t>
  </si>
  <si>
    <t>Total for Wages &amp; FICA OT</t>
  </si>
  <si>
    <t>Total for WI Retirement System</t>
  </si>
  <si>
    <t>Total for Transporation Staff Expenses with sub-accounts</t>
  </si>
  <si>
    <t>trucks</t>
  </si>
  <si>
    <t>22307</t>
  </si>
  <si>
    <t>Kwik Trip, Inc.</t>
  </si>
  <si>
    <t>truck maintenance (select)</t>
  </si>
  <si>
    <t>22309</t>
  </si>
  <si>
    <t>Premier Cooperative</t>
  </si>
  <si>
    <t>JD TRACTOR TIRES</t>
  </si>
  <si>
    <t>Total for John Deere Tractor</t>
  </si>
  <si>
    <t>Total for Truck &amp; Equip. Repair &amp; Maint. with sub-accounts</t>
  </si>
  <si>
    <t>Total for 53311 Highway &amp; Street Maintenance with sub-accounts</t>
  </si>
  <si>
    <t>Total for 122 Transportation/Public Works with sub-accounts</t>
  </si>
  <si>
    <t>Total for CP Fire Rapid Response Vehicle</t>
  </si>
  <si>
    <t>Total for 58212 Fire Protectioin with sub-accounts</t>
  </si>
  <si>
    <t>Total for Road Repairs Loan interest</t>
  </si>
  <si>
    <t>Total for Highway &amp; Street with sub-accounts</t>
  </si>
  <si>
    <t>Total for 132 Debt Service-Interst&amp;Fiscal Chg with sub-accounts</t>
  </si>
  <si>
    <t>22300</t>
  </si>
  <si>
    <t>Associated Appraisal Consultants, Inc.</t>
  </si>
  <si>
    <t>Total for 51500b Town Assessor/Revaluation</t>
  </si>
  <si>
    <t>27 hours @ 22.08</t>
  </si>
  <si>
    <t>Hall Cleaning</t>
  </si>
  <si>
    <t>Total for Cleaning Wages &amp; FICA</t>
  </si>
  <si>
    <t>Hall mowing/ball diamond spray</t>
  </si>
  <si>
    <t>reimbursement</t>
  </si>
  <si>
    <t>hall</t>
  </si>
  <si>
    <t>hall maintenance/supplies</t>
  </si>
  <si>
    <t>Total for Maintenance &amp; Cleaning Supp.</t>
  </si>
  <si>
    <t>Hall Mgr</t>
  </si>
  <si>
    <t>Total for Management Wages &amp; FICA</t>
  </si>
  <si>
    <t>Hall June bill</t>
  </si>
  <si>
    <t>Hall</t>
  </si>
  <si>
    <t>Total for Utility Bills (Gas, Electric)</t>
  </si>
  <si>
    <t>Total for 51600a Community Center Expense with sub-accounts</t>
  </si>
  <si>
    <t>22310</t>
  </si>
  <si>
    <t>Republic Services</t>
  </si>
  <si>
    <t>tonage</t>
  </si>
  <si>
    <t>Total for Recycling</t>
  </si>
  <si>
    <t>Total for Trash</t>
  </si>
  <si>
    <t>Total for Trash/Recycling with sub-accounts</t>
  </si>
  <si>
    <t>Total for Expenses with sub-accounts</t>
  </si>
  <si>
    <t>Net Ordinary Income</t>
  </si>
  <si>
    <t>Other Income/Expense</t>
  </si>
  <si>
    <t>Other Income</t>
  </si>
  <si>
    <t>Other Expense</t>
  </si>
  <si>
    <t>22301</t>
  </si>
  <si>
    <t>BECWA</t>
  </si>
  <si>
    <t>3D Model of watershed - donation $1500 ATC funds</t>
  </si>
  <si>
    <t>Total for BECWA Donation (Watershed Mobel)</t>
  </si>
  <si>
    <t>Total for Other Expense with sub-accounts</t>
  </si>
  <si>
    <t>P&amp;I</t>
  </si>
  <si>
    <t>01/15/2026</t>
  </si>
  <si>
    <t>22163</t>
  </si>
  <si>
    <t>Public Health Madison &amp; Dane County</t>
  </si>
  <si>
    <t>septic services</t>
  </si>
  <si>
    <t>02/12/2026</t>
  </si>
  <si>
    <t>22205</t>
  </si>
  <si>
    <t>Feb payment</t>
  </si>
  <si>
    <t>Total for 102 Special Assessments</t>
  </si>
  <si>
    <t>01/01/2026</t>
  </si>
  <si>
    <t>Journal Entry</t>
  </si>
  <si>
    <t>undefinedR</t>
  </si>
  <si>
    <t>To remove Dec 2025 collections from 2025 Revenue</t>
  </si>
  <si>
    <t>01/05/2026</t>
  </si>
  <si>
    <t>Various Payees</t>
  </si>
  <si>
    <t>01/07/2026</t>
  </si>
  <si>
    <t>22139</t>
  </si>
  <si>
    <t>Dane County Treasurer</t>
  </si>
  <si>
    <t>January  Settlement</t>
  </si>
  <si>
    <t>22143</t>
  </si>
  <si>
    <t>Wisconsin Heights School District</t>
  </si>
  <si>
    <t>January Settlement</t>
  </si>
  <si>
    <t>22141</t>
  </si>
  <si>
    <t>Middleton-Cross Plains School District</t>
  </si>
  <si>
    <t>22142</t>
  </si>
  <si>
    <t>Mt Horeb Area School District</t>
  </si>
  <si>
    <t>22140</t>
  </si>
  <si>
    <t>Madison Area Technical College District</t>
  </si>
  <si>
    <t>01/09/2026</t>
  </si>
  <si>
    <t>01/16/2026</t>
  </si>
  <si>
    <t>01/26/2026</t>
  </si>
  <si>
    <t>02/02/2026</t>
  </si>
  <si>
    <t>02/06/2026</t>
  </si>
  <si>
    <t>02/09/2026</t>
  </si>
  <si>
    <t>22206</t>
  </si>
  <si>
    <t>Jon and Sara Goldstein</t>
  </si>
  <si>
    <t>22207</t>
  </si>
  <si>
    <t>reimbursement of overpayment</t>
  </si>
  <si>
    <t>22204</t>
  </si>
  <si>
    <t>January 2026 Settlement</t>
  </si>
  <si>
    <t>22200</t>
  </si>
  <si>
    <t>February Settlement</t>
  </si>
  <si>
    <t>22201</t>
  </si>
  <si>
    <t>22202</t>
  </si>
  <si>
    <t>22203</t>
  </si>
  <si>
    <t>05/04/2026</t>
  </si>
  <si>
    <t>State of Wisconsin</t>
  </si>
  <si>
    <t>personal property Aid</t>
  </si>
  <si>
    <t>personal property aid</t>
  </si>
  <si>
    <t>Total for 41110 General Property Taxes</t>
  </si>
  <si>
    <t>06/11/2026</t>
  </si>
  <si>
    <t>Total for 41150 Managed Forest Land Taxes</t>
  </si>
  <si>
    <t>22169</t>
  </si>
  <si>
    <t>Lioudmila and Peter North</t>
  </si>
  <si>
    <t>2024 correction (PA5/661)</t>
  </si>
  <si>
    <t>Total for 41160 Prior Yrs Ommited/Refund Property Taxes</t>
  </si>
  <si>
    <t>04/15/2026</t>
  </si>
  <si>
    <t>2025 Credit</t>
  </si>
  <si>
    <t>Total for 41500 Lottery Credit</t>
  </si>
  <si>
    <t>Total for 100 Taxes with sub-accounts</t>
  </si>
  <si>
    <t>06/30/2026</t>
  </si>
  <si>
    <t>US Dept of Interior Fish &amp; Wildlife</t>
  </si>
  <si>
    <t>Total for 43300 Other Fed Pmts(Fish &amp; Wildlife)</t>
  </si>
  <si>
    <t>06/22/2026</t>
  </si>
  <si>
    <t>Total for 43420 Fire Insurance Tax/2% fire dues</t>
  </si>
  <si>
    <t>06/12/2026</t>
  </si>
  <si>
    <t>2026 Recycling Grant Award</t>
  </si>
  <si>
    <t>Total for 43545 State Recycling Grant</t>
  </si>
  <si>
    <t>01/28/2026</t>
  </si>
  <si>
    <t>Municipal Svs Aids</t>
  </si>
  <si>
    <t>Total for 43610 Pmt for Municipal Services Aid</t>
  </si>
  <si>
    <t>01/27/2026</t>
  </si>
  <si>
    <t>PILT payment</t>
  </si>
  <si>
    <t>02/03/2026</t>
  </si>
  <si>
    <t>22170</t>
  </si>
  <si>
    <t>2026 PILT from DNR</t>
  </si>
  <si>
    <t>22171</t>
  </si>
  <si>
    <t>22172</t>
  </si>
  <si>
    <t>22173</t>
  </si>
  <si>
    <t>22174</t>
  </si>
  <si>
    <t>04/24/2026</t>
  </si>
  <si>
    <t>Total for 43620 PILT-Conservation Lands</t>
  </si>
  <si>
    <t>05/16/2026</t>
  </si>
  <si>
    <t>Total for ATC ATC Annual Payment</t>
  </si>
  <si>
    <t>Dog Fees</t>
  </si>
  <si>
    <t>Dog Fee</t>
  </si>
  <si>
    <t>02/23/2026</t>
  </si>
  <si>
    <t>03/19/2026</t>
  </si>
  <si>
    <t>04/29/2026</t>
  </si>
  <si>
    <t>Total for 44200 Nonbusiness Licenses (incl dog)</t>
  </si>
  <si>
    <t>15% Building Permit/Inspection Fees</t>
  </si>
  <si>
    <t>Rezone Fee</t>
  </si>
  <si>
    <t>Pine Hill Farm</t>
  </si>
  <si>
    <t>Total for 44400 Zoning Permits &amp; Fees</t>
  </si>
  <si>
    <t>Total for 44500 Driveway Fees</t>
  </si>
  <si>
    <t>01/31/2026</t>
  </si>
  <si>
    <t>02/27/2026</t>
  </si>
  <si>
    <t>03/31/2026</t>
  </si>
  <si>
    <t>04/30/2026</t>
  </si>
  <si>
    <t>05/31/2026</t>
  </si>
  <si>
    <t>Truck Sale</t>
  </si>
  <si>
    <t>Total for 48305 Sale of Trucks or Highway Equip</t>
  </si>
  <si>
    <t>22152</t>
  </si>
  <si>
    <t>Glatfelter Specialty Benefits</t>
  </si>
  <si>
    <t>fire funds</t>
  </si>
  <si>
    <t>Total for 48600 Sponsor MHFD SAP Funds</t>
  </si>
  <si>
    <t>04/16/2026</t>
  </si>
  <si>
    <t>22254</t>
  </si>
  <si>
    <t>St. Mary's of Pine Bluff</t>
  </si>
  <si>
    <t>grave care (was deposited Oct 2024)</t>
  </si>
  <si>
    <t>Total for 48900 Other Misc. Revenues</t>
  </si>
  <si>
    <t>39</t>
  </si>
  <si>
    <t>To apply Surplus to Old Military Road per 2026 Budget</t>
  </si>
  <si>
    <t>02/28/2026</t>
  </si>
  <si>
    <t>41</t>
  </si>
  <si>
    <t>To apply Surplus to Old Military Road $17876.20 per 2026 Budget &amp; $68,108.00 for New Truck Expense Approved on January Town Meeting</t>
  </si>
  <si>
    <t>43</t>
  </si>
  <si>
    <t>45</t>
  </si>
  <si>
    <t>47</t>
  </si>
  <si>
    <t>49</t>
  </si>
  <si>
    <t>Total for 250 Surplus Applied</t>
  </si>
  <si>
    <t>01/02/2026</t>
  </si>
  <si>
    <t>transportation aid</t>
  </si>
  <si>
    <t>2026 Transportation Aids</t>
  </si>
  <si>
    <t>04/06/2026</t>
  </si>
  <si>
    <t>2026 FIRST QTR</t>
  </si>
  <si>
    <t>4th Qtr.</t>
  </si>
  <si>
    <t>4th Qtr</t>
  </si>
  <si>
    <t>22138</t>
  </si>
  <si>
    <t>Federal WH Board</t>
  </si>
  <si>
    <t>02/16/2026</t>
  </si>
  <si>
    <t>03/18/2026</t>
  </si>
  <si>
    <t>04/01/2026</t>
  </si>
  <si>
    <t>1st qtr.</t>
  </si>
  <si>
    <t>1st qtr</t>
  </si>
  <si>
    <t>22226</t>
  </si>
  <si>
    <t>04/20/2026</t>
  </si>
  <si>
    <t>05/26/2026</t>
  </si>
  <si>
    <t>17.75 hours</t>
  </si>
  <si>
    <t>DD5</t>
  </si>
  <si>
    <t>03/02/2026</t>
  </si>
  <si>
    <t>22.25 hours at 16.48</t>
  </si>
  <si>
    <t>32 hours at 16.48</t>
  </si>
  <si>
    <t>05/01/2026</t>
  </si>
  <si>
    <t>35 hours at 16.48</t>
  </si>
  <si>
    <t>06/01/2026</t>
  </si>
  <si>
    <t>19.5 hours at 16.48</t>
  </si>
  <si>
    <t>22196</t>
  </si>
  <si>
    <t>Stafford Rosenbaum Attorneys</t>
  </si>
  <si>
    <t>Burr Oak Trail</t>
  </si>
  <si>
    <t>EMS agreement</t>
  </si>
  <si>
    <t>03/12/2026</t>
  </si>
  <si>
    <t>22222</t>
  </si>
  <si>
    <t>WMPR - culvert project</t>
  </si>
  <si>
    <t>05/14/2026</t>
  </si>
  <si>
    <t>22273</t>
  </si>
  <si>
    <t>$1278 WMPR culvert - legal fees</t>
  </si>
  <si>
    <t>CP EMS contract - legal fees</t>
  </si>
  <si>
    <t>22292</t>
  </si>
  <si>
    <t>zoning consult</t>
  </si>
  <si>
    <t>monthly wages</t>
  </si>
  <si>
    <t>Clerk WH</t>
  </si>
  <si>
    <t>DD3</t>
  </si>
  <si>
    <t>reimbursement for full payment of health ins in April 2025</t>
  </si>
  <si>
    <t>Total for 51400aa Clerk Health Insurance</t>
  </si>
  <si>
    <t>retirement contr.</t>
  </si>
  <si>
    <t>Wisconsin Retirement System</t>
  </si>
  <si>
    <t>clerk retirement</t>
  </si>
  <si>
    <t>Wisconsin Employee Trust Funds</t>
  </si>
  <si>
    <t>Clerk retirement</t>
  </si>
  <si>
    <t>05/29/2026</t>
  </si>
  <si>
    <t>29 hours</t>
  </si>
  <si>
    <t>deputy clerk WH</t>
  </si>
  <si>
    <t>DD4</t>
  </si>
  <si>
    <t>30.25 hours at 20.35</t>
  </si>
  <si>
    <t>29.25 hours at 20.35</t>
  </si>
  <si>
    <t>9.25 hours at 20.35</t>
  </si>
  <si>
    <t>20.5 hours at 20.35</t>
  </si>
  <si>
    <t>11 hours at 20.35</t>
  </si>
  <si>
    <t>22231</t>
  </si>
  <si>
    <t>Beverly Bradley</t>
  </si>
  <si>
    <t>training/Feb 17 election/April 7 election</t>
  </si>
  <si>
    <t>22237</t>
  </si>
  <si>
    <t>Connie Kane</t>
  </si>
  <si>
    <t>22238</t>
  </si>
  <si>
    <t>Cynthia Troia</t>
  </si>
  <si>
    <t>22247</t>
  </si>
  <si>
    <t>Megan Neuman</t>
  </si>
  <si>
    <t>22252</t>
  </si>
  <si>
    <t>Robin Downs</t>
  </si>
  <si>
    <t>22245</t>
  </si>
  <si>
    <t>Mary Devitt</t>
  </si>
  <si>
    <t>22243</t>
  </si>
  <si>
    <t>Jerry French</t>
  </si>
  <si>
    <t>22235</t>
  </si>
  <si>
    <t>Christine Scheider</t>
  </si>
  <si>
    <t>22253</t>
  </si>
  <si>
    <t>Rose Ohlert</t>
  </si>
  <si>
    <t>22244</t>
  </si>
  <si>
    <t>John Keenan</t>
  </si>
  <si>
    <t>22234</t>
  </si>
  <si>
    <t>Carol Rumberger</t>
  </si>
  <si>
    <t>22242</t>
  </si>
  <si>
    <t>Jane Hyer</t>
  </si>
  <si>
    <t>22232</t>
  </si>
  <si>
    <t>Brittany Johnson</t>
  </si>
  <si>
    <t>Total for Election Inspectors Stipends</t>
  </si>
  <si>
    <t>22150</t>
  </si>
  <si>
    <t>Finger Publishing Company, Inc.</t>
  </si>
  <si>
    <t>publishment of</t>
  </si>
  <si>
    <t>Total for Election Notices</t>
  </si>
  <si>
    <t>stamps</t>
  </si>
  <si>
    <t>22216</t>
  </si>
  <si>
    <t>Government Forms &amp; Supplies</t>
  </si>
  <si>
    <t>election envelopes</t>
  </si>
  <si>
    <t>03/26/2026</t>
  </si>
  <si>
    <t>election supplies</t>
  </si>
  <si>
    <t>04/27/2026</t>
  </si>
  <si>
    <t>ink cartridges</t>
  </si>
  <si>
    <t>Training - Hotel 9/30</t>
  </si>
  <si>
    <t>02/26/2026</t>
  </si>
  <si>
    <t>cc internet</t>
  </si>
  <si>
    <t>Monthly bill</t>
  </si>
  <si>
    <t>22208</t>
  </si>
  <si>
    <t>22228</t>
  </si>
  <si>
    <t>22258</t>
  </si>
  <si>
    <t>22274</t>
  </si>
  <si>
    <t>22184</t>
  </si>
  <si>
    <t>publishment of bids</t>
  </si>
  <si>
    <t>22215</t>
  </si>
  <si>
    <t>22279</t>
  </si>
  <si>
    <t>legal notices 4/3 (2), 4/10, 5/15 (2), 5/22, 5/29 (2)</t>
  </si>
  <si>
    <t>Total for Legal Notices</t>
  </si>
  <si>
    <t>stamps, etc</t>
  </si>
  <si>
    <t>22166</t>
  </si>
  <si>
    <t>septic tax</t>
  </si>
  <si>
    <t>business reg.</t>
  </si>
  <si>
    <t>two sets of toner</t>
  </si>
  <si>
    <t>22213</t>
  </si>
  <si>
    <t>tax bill envelopes</t>
  </si>
  <si>
    <t>QB</t>
  </si>
  <si>
    <t>credit</t>
  </si>
  <si>
    <t>06/18/2026</t>
  </si>
  <si>
    <t>Deluxe for Business</t>
  </si>
  <si>
    <t>Business checks (1,000 ordered)</t>
  </si>
  <si>
    <t>06/26/2026</t>
  </si>
  <si>
    <t>DSPS and zoom</t>
  </si>
  <si>
    <t>quickbooks</t>
  </si>
  <si>
    <t>stamps and certified mail</t>
  </si>
  <si>
    <t>office postage</t>
  </si>
  <si>
    <t>22145</t>
  </si>
  <si>
    <t>Advertisers Press Inc</t>
  </si>
  <si>
    <t>abstract printing</t>
  </si>
  <si>
    <t>Return of remaining funds from 2025 Tax bills/inserts printing and mailing</t>
  </si>
  <si>
    <t>Total for Printing</t>
  </si>
  <si>
    <t>cc phone</t>
  </si>
  <si>
    <t>22212</t>
  </si>
  <si>
    <t>Dane County Towns Association</t>
  </si>
  <si>
    <t>2026 membership dues</t>
  </si>
  <si>
    <t>2277</t>
  </si>
  <si>
    <t>Wisconsin Towns Association</t>
  </si>
  <si>
    <t>Annual Dues - 2026/2027</t>
  </si>
  <si>
    <t>Total for Town Associations Dues</t>
  </si>
  <si>
    <t>22153</t>
  </si>
  <si>
    <t>Go Daddy - 1 year</t>
  </si>
  <si>
    <t>22186</t>
  </si>
  <si>
    <t>22217</t>
  </si>
  <si>
    <t>22241</t>
  </si>
  <si>
    <t>22261</t>
  </si>
  <si>
    <t>22281</t>
  </si>
  <si>
    <t>1 meeting</t>
  </si>
  <si>
    <t>78 dog tags</t>
  </si>
  <si>
    <t>54.6 miles @ .70</t>
  </si>
  <si>
    <t>treasurer WH</t>
  </si>
  <si>
    <t>22197</t>
  </si>
  <si>
    <t>The Horton Group, Inc</t>
  </si>
  <si>
    <t>Bond renewal</t>
  </si>
  <si>
    <t>Total for Bond</t>
  </si>
  <si>
    <t>22271</t>
  </si>
  <si>
    <t>Renewal - annual</t>
  </si>
  <si>
    <t>22290</t>
  </si>
  <si>
    <t>Renewal - annual (adjusted notice)</t>
  </si>
  <si>
    <t>Total for General Liability</t>
  </si>
  <si>
    <t>Audit refund</t>
  </si>
  <si>
    <t>22183</t>
  </si>
  <si>
    <t>Cross Plains-Berry Fire District</t>
  </si>
  <si>
    <t>30% assessment</t>
  </si>
  <si>
    <t>Association Dues</t>
  </si>
  <si>
    <t>Total for Cross Plains/Berry Fire Dept</t>
  </si>
  <si>
    <t>22262</t>
  </si>
  <si>
    <t>Jefferson Fire &amp; Safety, Inc.</t>
  </si>
  <si>
    <t>annual maintenance/inspection of extinguishers</t>
  </si>
  <si>
    <t>22158</t>
  </si>
  <si>
    <t>Mount Horeb Area Fire District</t>
  </si>
  <si>
    <t>60% Assessment</t>
  </si>
  <si>
    <t>Total for Mount Horeb Fire Dept</t>
  </si>
  <si>
    <t>22182</t>
  </si>
  <si>
    <t>Cross Plains Area EMS</t>
  </si>
  <si>
    <t>50% setlement</t>
  </si>
  <si>
    <t>22278</t>
  </si>
  <si>
    <t>30% assessment/association dues-second half</t>
  </si>
  <si>
    <t>Total for Cross Plains/Berry EMS</t>
  </si>
  <si>
    <t>60% assessment</t>
  </si>
  <si>
    <t>Total for Mt. Horeb  EMS</t>
  </si>
  <si>
    <t>Total for 52300 Ambulance/EMS with sub-accounts</t>
  </si>
  <si>
    <t>22214</t>
  </si>
  <si>
    <t>July-Dec 2025</t>
  </si>
  <si>
    <t>Total for 52900 OtrPublicSafety-Emgy Radio Syst</t>
  </si>
  <si>
    <t>Street lights</t>
  </si>
  <si>
    <t>22264</t>
  </si>
  <si>
    <t>Kalish Masonry, LLC</t>
  </si>
  <si>
    <t>CMU Tower repairs</t>
  </si>
  <si>
    <t>Total for Garage Capital Improvements</t>
  </si>
  <si>
    <t>2274</t>
  </si>
  <si>
    <t>22283</t>
  </si>
  <si>
    <t>23% mowing $42.54</t>
  </si>
  <si>
    <t>22293</t>
  </si>
  <si>
    <t>22148</t>
  </si>
  <si>
    <t>22156</t>
  </si>
  <si>
    <t>22160</t>
  </si>
  <si>
    <t>Nelson Electric</t>
  </si>
  <si>
    <t>electric service</t>
  </si>
  <si>
    <t>22178</t>
  </si>
  <si>
    <t>22190</t>
  </si>
  <si>
    <t>shop supplies</t>
  </si>
  <si>
    <t>22211</t>
  </si>
  <si>
    <t>22218</t>
  </si>
  <si>
    <t>22267</t>
  </si>
  <si>
    <t>22276</t>
  </si>
  <si>
    <t>22286</t>
  </si>
  <si>
    <t>22287</t>
  </si>
  <si>
    <t>Middleton Farmers Coop</t>
  </si>
  <si>
    <t>garage maintenance</t>
  </si>
  <si>
    <t>garage phone</t>
  </si>
  <si>
    <t>garage internet</t>
  </si>
  <si>
    <t>22167</t>
  </si>
  <si>
    <t>Patrolman &amp; Chairman cell phones</t>
  </si>
  <si>
    <t>22199</t>
  </si>
  <si>
    <t>22225</t>
  </si>
  <si>
    <t>22256</t>
  </si>
  <si>
    <t>2275</t>
  </si>
  <si>
    <t>22294</t>
  </si>
  <si>
    <t>22155</t>
  </si>
  <si>
    <t>Meffert Oil Co., Inc.</t>
  </si>
  <si>
    <t>342.6 gallons winterized diesel</t>
  </si>
  <si>
    <t>22189</t>
  </si>
  <si>
    <t>390.3 gallons winterized diesel</t>
  </si>
  <si>
    <t>22246</t>
  </si>
  <si>
    <t>484 gallons winterized diesel</t>
  </si>
  <si>
    <t>22285</t>
  </si>
  <si>
    <t>496 gallons diesel, delivered 5/15/26</t>
  </si>
  <si>
    <t>Total for Diesel</t>
  </si>
  <si>
    <t>22149</t>
  </si>
  <si>
    <t>Emplify Health</t>
  </si>
  <si>
    <t>drug testing</t>
  </si>
  <si>
    <t>22210</t>
  </si>
  <si>
    <t>Bellin Health</t>
  </si>
  <si>
    <t>drug test</t>
  </si>
  <si>
    <t>22250</t>
  </si>
  <si>
    <t>Occupational Health Center (Concentra)</t>
  </si>
  <si>
    <t>22240</t>
  </si>
  <si>
    <t>Total for DOT Compliance</t>
  </si>
  <si>
    <t>22257</t>
  </si>
  <si>
    <t>Weyers Equipment, Inc.</t>
  </si>
  <si>
    <t>Boom Tractor Rental (tree maintenance)</t>
  </si>
  <si>
    <t>Total for Equipment Rental</t>
  </si>
  <si>
    <t>22162</t>
  </si>
  <si>
    <t>Northwestern Stone LLC</t>
  </si>
  <si>
    <t>screenings</t>
  </si>
  <si>
    <t>22168</t>
  </si>
  <si>
    <t>Wolf Paving &amp; Excavating Co., Inc.</t>
  </si>
  <si>
    <t>coldmix</t>
  </si>
  <si>
    <t>22193</t>
  </si>
  <si>
    <t>screening</t>
  </si>
  <si>
    <t>22239</t>
  </si>
  <si>
    <t>Decker Supply Co, Inc.</t>
  </si>
  <si>
    <t>road signs</t>
  </si>
  <si>
    <t>22249</t>
  </si>
  <si>
    <t>crushed rock</t>
  </si>
  <si>
    <t>22269</t>
  </si>
  <si>
    <t>crushed stone</t>
  </si>
  <si>
    <t>22272</t>
  </si>
  <si>
    <t>Scott Construction, Inc.</t>
  </si>
  <si>
    <t>cold mix patch</t>
  </si>
  <si>
    <t>1129</t>
  </si>
  <si>
    <t>road materials</t>
  </si>
  <si>
    <t>22291</t>
  </si>
  <si>
    <t>cold mix patch (5/7 two loads)</t>
  </si>
  <si>
    <t>22151</t>
  </si>
  <si>
    <t>First American Title Insurance Company</t>
  </si>
  <si>
    <t>old military</t>
  </si>
  <si>
    <t>22159</t>
  </si>
  <si>
    <t>MSA Professional Services, Inc</t>
  </si>
  <si>
    <t>engineering</t>
  </si>
  <si>
    <t>22192</t>
  </si>
  <si>
    <t>Old Military</t>
  </si>
  <si>
    <t>22220</t>
  </si>
  <si>
    <t>Old Military Rd project</t>
  </si>
  <si>
    <t>22223</t>
  </si>
  <si>
    <t>Wisconsin Department of Transportation</t>
  </si>
  <si>
    <t>Old Military Rd (project 39555720003)</t>
  </si>
  <si>
    <t>22248</t>
  </si>
  <si>
    <t>22268</t>
  </si>
  <si>
    <t>2276</t>
  </si>
  <si>
    <t>22288</t>
  </si>
  <si>
    <t>Total for Old Military Road</t>
  </si>
  <si>
    <t>Total for Road Projects with sub-accounts</t>
  </si>
  <si>
    <t>Brian Eckel</t>
  </si>
  <si>
    <t>7.25 hours</t>
  </si>
  <si>
    <t>FICA</t>
  </si>
  <si>
    <t>Soc Sec</t>
  </si>
  <si>
    <t>PT road work WH</t>
  </si>
  <si>
    <t>21.5 hours at 23.87</t>
  </si>
  <si>
    <t>Total for Plowing Subcontractor</t>
  </si>
  <si>
    <t>22236</t>
  </si>
  <si>
    <t>Compass Minerals</t>
  </si>
  <si>
    <t>salt</t>
  </si>
  <si>
    <t>22277</t>
  </si>
  <si>
    <t>3/63/2026 salt delivery</t>
  </si>
  <si>
    <t>Total for Salt and Sand Mix</t>
  </si>
  <si>
    <t>64.75 hours</t>
  </si>
  <si>
    <t>9 @ 35.78</t>
  </si>
  <si>
    <t>Total for Snow Plowing Over Time w/FICA</t>
  </si>
  <si>
    <t>Total for Snow and Ice Control with sub-accounts</t>
  </si>
  <si>
    <t>Feb premium</t>
  </si>
  <si>
    <t>Dental ins.</t>
  </si>
  <si>
    <t>Patrolman - health ins</t>
  </si>
  <si>
    <t>DD1</t>
  </si>
  <si>
    <t>DD2</t>
  </si>
  <si>
    <t>4.75 hours @ 17.05</t>
  </si>
  <si>
    <t>22227</t>
  </si>
  <si>
    <t>6.25 hours @ 23.87</t>
  </si>
  <si>
    <t>5.5 hours @17.05</t>
  </si>
  <si>
    <t>23.25 hours @ 17.05</t>
  </si>
  <si>
    <t>184 hours</t>
  </si>
  <si>
    <t>reimbursement of taking Federal WH that did not get paid to IRS in Feb. 2025</t>
  </si>
  <si>
    <t>correction of error on Fed WH</t>
  </si>
  <si>
    <t>patrolman WH</t>
  </si>
  <si>
    <t>204.5 hours @ 36.60</t>
  </si>
  <si>
    <t>160 hours @ 36.60</t>
  </si>
  <si>
    <t>168 hours @ 36.60</t>
  </si>
  <si>
    <t>53.5hours at 54.90</t>
  </si>
  <si>
    <t>26.25 hours at 54.90</t>
  </si>
  <si>
    <t>29 hours at 54.90</t>
  </si>
  <si>
    <t>33.75 hours at 54.90</t>
  </si>
  <si>
    <t>30.75 hours at 54.90</t>
  </si>
  <si>
    <t>2.75 OT hours @ 24.83</t>
  </si>
  <si>
    <t>retirement cont.</t>
  </si>
  <si>
    <t>patrolman retirement</t>
  </si>
  <si>
    <t>Patrolman retirement</t>
  </si>
  <si>
    <t>22147</t>
  </si>
  <si>
    <t>Auto Value Parts Stors</t>
  </si>
  <si>
    <t>parts/maintenance - garage</t>
  </si>
  <si>
    <t>22154</t>
  </si>
  <si>
    <t>Mirrors for patrol truck</t>
  </si>
  <si>
    <t>22188</t>
  </si>
  <si>
    <t>Kalscheur Implement Co. Inc.</t>
  </si>
  <si>
    <t>parts</t>
  </si>
  <si>
    <t>22195</t>
  </si>
  <si>
    <t>Sloan Implement Co., Inc.</t>
  </si>
  <si>
    <t>parts/maintenance</t>
  </si>
  <si>
    <t>22187</t>
  </si>
  <si>
    <t>K&amp;K Manufacturing</t>
  </si>
  <si>
    <t>steel/Welding</t>
  </si>
  <si>
    <t>22180</t>
  </si>
  <si>
    <t>Burke Truck &amp; Equipment Inc.</t>
  </si>
  <si>
    <t>truck parts</t>
  </si>
  <si>
    <t>22191</t>
  </si>
  <si>
    <t>Monroe Truck Equipment, Inc.</t>
  </si>
  <si>
    <t>550 truck</t>
  </si>
  <si>
    <t>22177</t>
  </si>
  <si>
    <t>22229</t>
  </si>
  <si>
    <t>Airgas USA, LLC</t>
  </si>
  <si>
    <t>lease</t>
  </si>
  <si>
    <t>22233</t>
  </si>
  <si>
    <t>Western Star Truck</t>
  </si>
  <si>
    <t>22265</t>
  </si>
  <si>
    <t>ORings</t>
  </si>
  <si>
    <t>22266</t>
  </si>
  <si>
    <t>22282</t>
  </si>
  <si>
    <t>parts for truck/tractor</t>
  </si>
  <si>
    <t>2278</t>
  </si>
  <si>
    <t>Lakeside International Trucks</t>
  </si>
  <si>
    <t>maintenance</t>
  </si>
  <si>
    <t>22284</t>
  </si>
  <si>
    <t>filter</t>
  </si>
  <si>
    <t>Total for 2017 International</t>
  </si>
  <si>
    <t>22157</t>
  </si>
  <si>
    <t>Total for 57324 Highway Equipment Outlay</t>
  </si>
  <si>
    <t>22161</t>
  </si>
  <si>
    <t>Northwest Dane Senior Services, Inc.</t>
  </si>
  <si>
    <t>2026 payment</t>
  </si>
  <si>
    <t>Total for 54600 Aging -incl senior citizen prgm</t>
  </si>
  <si>
    <t>22181</t>
  </si>
  <si>
    <t>Capital Area Regional Planning Commission</t>
  </si>
  <si>
    <t>BE Watershed donation</t>
  </si>
  <si>
    <t>Total for CARPC-Blackk Earth Creek Watershed</t>
  </si>
  <si>
    <t>Total for 124 Health &amp; Human Services with sub-accounts</t>
  </si>
  <si>
    <t>04/02/2026</t>
  </si>
  <si>
    <t>Capitol Bank</t>
  </si>
  <si>
    <t>Total for 2017 CP/Berry Fire Truck Int.</t>
  </si>
  <si>
    <t>22219</t>
  </si>
  <si>
    <t>loan</t>
  </si>
  <si>
    <t>Total for MHAJFD Fire Station Loan Pmt</t>
  </si>
  <si>
    <t>22179</t>
  </si>
  <si>
    <t>Board of Commissioners of Public Lands</t>
  </si>
  <si>
    <t>Total for International Truck (2017) Int</t>
  </si>
  <si>
    <t>01/18/2026</t>
  </si>
  <si>
    <t>02/18/2026</t>
  </si>
  <si>
    <t>05/18/2026</t>
  </si>
  <si>
    <t>eft</t>
  </si>
  <si>
    <t>Total for Stagecoach Rd Reconst Int</t>
  </si>
  <si>
    <t>22146</t>
  </si>
  <si>
    <t>22176</t>
  </si>
  <si>
    <t>22209</t>
  </si>
  <si>
    <t>22230</t>
  </si>
  <si>
    <t>22259</t>
  </si>
  <si>
    <t>22275</t>
  </si>
  <si>
    <t>22 hours</t>
  </si>
  <si>
    <t>cc cleaning WH</t>
  </si>
  <si>
    <t>17 hours @ 22.08</t>
  </si>
  <si>
    <t>14 hours @ 22.08</t>
  </si>
  <si>
    <t>11 hours @ 22.08</t>
  </si>
  <si>
    <t>25 hours @ 22.08</t>
  </si>
  <si>
    <t>04/07/2026</t>
  </si>
  <si>
    <t>1128</t>
  </si>
  <si>
    <t>playground chips</t>
  </si>
  <si>
    <t>22263</t>
  </si>
  <si>
    <t>Joe's Lawn and Snow</t>
  </si>
  <si>
    <t>Fertilizing</t>
  </si>
  <si>
    <t>77% mowing  $142.43</t>
  </si>
  <si>
    <t>Hall mowing</t>
  </si>
  <si>
    <t>22185</t>
  </si>
  <si>
    <t>Franklin Water Treatment, LLC</t>
  </si>
  <si>
    <t>water treatment</t>
  </si>
  <si>
    <t>decorations</t>
  </si>
  <si>
    <t>22280</t>
  </si>
  <si>
    <t>hall supplies</t>
  </si>
  <si>
    <t>22295</t>
  </si>
  <si>
    <t>Zuern</t>
  </si>
  <si>
    <t>Window replacement (installed by Bruce)</t>
  </si>
  <si>
    <t>22296</t>
  </si>
  <si>
    <t>TomCat Services</t>
  </si>
  <si>
    <t>ROOF REPAIRS - HALL &amp; PAVILLION</t>
  </si>
  <si>
    <t>overpayment paid double amount July 2025</t>
  </si>
  <si>
    <t>cc mgmt WH</t>
  </si>
  <si>
    <t>22165</t>
  </si>
  <si>
    <t>Dec billing</t>
  </si>
  <si>
    <t>22198</t>
  </si>
  <si>
    <t>Jan. snow removal</t>
  </si>
  <si>
    <t>22255</t>
  </si>
  <si>
    <t>Total for Snow Removal</t>
  </si>
  <si>
    <t>22144</t>
  </si>
  <si>
    <t>22175</t>
  </si>
  <si>
    <t>34R</t>
  </si>
  <si>
    <t>To move December Expense into 2025</t>
  </si>
  <si>
    <t>22164</t>
  </si>
  <si>
    <t>22194</t>
  </si>
  <si>
    <t>22221</t>
  </si>
  <si>
    <t>22251</t>
  </si>
  <si>
    <t>22270</t>
  </si>
  <si>
    <t>22289</t>
  </si>
  <si>
    <t>Balance Sheet</t>
  </si>
  <si>
    <t>As of Jul 31, 2026</t>
  </si>
  <si>
    <t>Assets</t>
  </si>
  <si>
    <t>Current Assets</t>
  </si>
  <si>
    <t>Bank Accounts</t>
  </si>
  <si>
    <t>ATC Funds</t>
  </si>
  <si>
    <t>Pine Bluff Historical Soc. Fund</t>
  </si>
  <si>
    <t>Reserve Fund-Prior Yr-CarryOver</t>
  </si>
  <si>
    <t>Total for Town Money Market Account</t>
  </si>
  <si>
    <t>Total for Bank Accounts</t>
  </si>
  <si>
    <t>Total for Current Assets</t>
  </si>
  <si>
    <t>Total for Assets</t>
  </si>
  <si>
    <t>Liabilities and Equity</t>
  </si>
  <si>
    <t>Liabilities</t>
  </si>
  <si>
    <t>Current Liabilities</t>
  </si>
  <si>
    <t>Accounts Payable</t>
  </si>
  <si>
    <t>20000 Accounts Payable</t>
  </si>
  <si>
    <t>Total for Accounts Payable</t>
  </si>
  <si>
    <t>Other Current Liabilities</t>
  </si>
  <si>
    <t>22000 Building Deposits</t>
  </si>
  <si>
    <t>22001 Security Deposits on CC Rental</t>
  </si>
  <si>
    <t>24000 Payroll Liabilities</t>
  </si>
  <si>
    <t>Federal Tax Withholding</t>
  </si>
  <si>
    <t>FICA Withholding</t>
  </si>
  <si>
    <t>Total for 24000 Payroll Liabilities</t>
  </si>
  <si>
    <t>Total for Other Current Liabilities</t>
  </si>
  <si>
    <t>Total for Current Liabilities</t>
  </si>
  <si>
    <t>Long-term Liabilities</t>
  </si>
  <si>
    <t>900 LongTermGeneral ObiligationDebt</t>
  </si>
  <si>
    <t>50015 Fire Protection Debt</t>
  </si>
  <si>
    <t>CP Rapid Response(Ends 12/2031)</t>
  </si>
  <si>
    <t>CP/B Fire Truck (Ends 10/2026)</t>
  </si>
  <si>
    <t>Total for 50015 Fire Protection Debt</t>
  </si>
  <si>
    <t>50020 Highway Debt</t>
  </si>
  <si>
    <t>International Truck(Ends3/2027)</t>
  </si>
  <si>
    <t>Road Repairs Loan(Ends12/18/30)</t>
  </si>
  <si>
    <t>Stagecoach Road (Ends 3/2037)</t>
  </si>
  <si>
    <t>Total for 50020 Highway Debt</t>
  </si>
  <si>
    <t>50080 Other Long Term Obligations</t>
  </si>
  <si>
    <t>Total for 900 LongTermGeneral ObiligationDebt</t>
  </si>
  <si>
    <t>Total for Long-term Liabilities</t>
  </si>
  <si>
    <t>Total for Liabilities</t>
  </si>
  <si>
    <t>Equity</t>
  </si>
  <si>
    <t>1000 Tax Collections</t>
  </si>
  <si>
    <t>1001 MHFD SAP Pass Through Funds</t>
  </si>
  <si>
    <t>30000 Opening Balance Equity</t>
  </si>
  <si>
    <t>32000 Retained Earnings</t>
  </si>
  <si>
    <t>Total for Equity</t>
  </si>
  <si>
    <t>Total for Liabilities and Equity</t>
  </si>
  <si>
    <t>Lake Ridge Bank 2.29%, Final Pay 12/1/2031</t>
  </si>
  <si>
    <t>Capitol Bank 3.15%, Final Pay 10/1/2026</t>
  </si>
  <si>
    <t>Board of Commissioners of Public Lands 3.50%, Final Pay 3/15/2027</t>
  </si>
  <si>
    <t>Lake Ridge Bank 2.89%, Final Pay 12/18/2030</t>
  </si>
  <si>
    <t>Board of Commissioners of Public Lands 4.00%, Final Pay 3/15/2037</t>
  </si>
  <si>
    <t xml:space="preserve">YTD Budget Performance </t>
  </si>
  <si>
    <t>January - July, 2026</t>
  </si>
  <si>
    <t>Actual</t>
  </si>
  <si>
    <t>over Budget</t>
  </si>
  <si>
    <t>% of Budget</t>
  </si>
  <si>
    <t xml:space="preserve">   100 Taxes</t>
  </si>
  <si>
    <t xml:space="preserve">   103 Intergovernment Revenues</t>
  </si>
  <si>
    <t xml:space="preserve">   105 Licenses and Permits</t>
  </si>
  <si>
    <t xml:space="preserve">   113 Interest/Div/Searches/Misc.</t>
  </si>
  <si>
    <t xml:space="preserve">   200 Misc. Inflows (not TCP Income)</t>
  </si>
  <si>
    <t xml:space="preserve">   250 Surplus Applied</t>
  </si>
  <si>
    <t xml:space="preserve">   43410 State Shared Revenues</t>
  </si>
  <si>
    <t xml:space="preserve">   43531 State Transportation Aids</t>
  </si>
  <si>
    <t xml:space="preserve">   46743 Community Center Rental</t>
  </si>
  <si>
    <t>Total Income</t>
  </si>
  <si>
    <t xml:space="preserve">   118 General Government</t>
  </si>
  <si>
    <t xml:space="preserve">   120 Public Safety</t>
  </si>
  <si>
    <t xml:space="preserve">   122 Transportation/Public Works</t>
  </si>
  <si>
    <t xml:space="preserve">   124 Health &amp; Human Services</t>
  </si>
  <si>
    <t xml:space="preserve">   130 Capital Outlay</t>
  </si>
  <si>
    <t xml:space="preserve">   132 Debt Service-Interst&amp;Fiscal Chg</t>
  </si>
  <si>
    <t xml:space="preserve">   51500b Town Assessor/Revaluation</t>
  </si>
  <si>
    <t xml:space="preserve">   51600a Community Center Expense</t>
  </si>
  <si>
    <t xml:space="preserve">   Trash/Recycling</t>
  </si>
  <si>
    <t>Total Expenses</t>
  </si>
  <si>
    <t xml:space="preserve">   BECWA Donation (Watershed Mobel)</t>
  </si>
  <si>
    <t>Total Other Expenses</t>
  </si>
  <si>
    <t>Annual Budget</t>
  </si>
  <si>
    <t xml:space="preserve">    ATC Annual Payment </t>
  </si>
  <si>
    <r>
      <t xml:space="preserve">Transportation includes $52,109.60 for Old Military Road Jan-June; Budget at $125,975 for July. </t>
    </r>
    <r>
      <rPr>
        <b/>
        <sz val="8"/>
        <color theme="1"/>
        <rFont val="Arial"/>
        <family val="2"/>
      </rPr>
      <t xml:space="preserve"> Budget Spread Timing</t>
    </r>
  </si>
  <si>
    <t>Budgeted for tonnage charge not being bill for (per Clerk, they are not allowed to charge tonnage fees)</t>
  </si>
  <si>
    <t>Includes Interest YTD of $45,730.16, at 3.78% APR ad Truck Sale $61,160.00</t>
  </si>
  <si>
    <t>YTD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</si>
</sst>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_(&quot;$&quot;* #,##0.00_);_(&quot;$&quot;* \(#,##0.00\);_(&quot;$&quot;* &quot;-&quot;??_);_(* @_)"/>
    <numFmt numFmtId="166" formatCode="_(&quot;$&quot;* #,##0.00_);[Red]_(&quot;$&quot;* \(#,##0.00\);_(&quot;$&quot;* &quot;-&quot;??_);_(* @_)"/>
  </numFmts>
  <fonts count="1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0"/>
      <color indexed="8"/>
      <name val="Calibri"/>
      <family val="2"/>
      <scheme val="minor"/>
    </font>
    <font>
      <b/>
      <sz val="14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1"/>
    <xf numFmtId="0" fontId="1" fillId="0" borderId="0"/>
    <xf numFmtId="0" fontId="1" fillId="0" borderId="2"/>
  </cellStyleXfs>
  <cellXfs count="72">
    <xf numFmtId="0" fontId="0" fillId="0" borderId="0" xfId="0"/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center" wrapText="1"/>
    </xf>
    <xf numFmtId="0" fontId="2" fillId="0" borderId="0" xfId="0" applyFont="1"/>
    <xf numFmtId="164" fontId="0" fillId="0" borderId="0" xfId="0" applyNumberForma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 indent="3"/>
    </xf>
    <xf numFmtId="0" fontId="2" fillId="0" borderId="0" xfId="0" applyFont="1" applyAlignment="1">
      <alignment horizontal="left" wrapText="1" indent="4"/>
    </xf>
    <xf numFmtId="0" fontId="4" fillId="0" borderId="0" xfId="0" applyFont="1" applyAlignment="1">
      <alignment horizontal="left" wrapText="1" indent="3"/>
    </xf>
    <xf numFmtId="0" fontId="4" fillId="0" borderId="0" xfId="0" applyFont="1" applyAlignment="1">
      <alignment horizontal="left" wrapText="1" indent="2"/>
    </xf>
    <xf numFmtId="0" fontId="2" fillId="0" borderId="0" xfId="0" applyFont="1" applyAlignment="1">
      <alignment horizontal="left" wrapText="1" indent="5"/>
    </xf>
    <xf numFmtId="0" fontId="4" fillId="0" borderId="0" xfId="0" applyFont="1" applyAlignment="1">
      <alignment horizontal="left" wrapText="1" indent="4"/>
    </xf>
    <xf numFmtId="0" fontId="0" fillId="0" borderId="0" xfId="0" applyAlignment="1">
      <alignment wrapText="1"/>
    </xf>
    <xf numFmtId="0" fontId="3" fillId="0" borderId="1" xfId="1" applyFont="1" applyAlignment="1">
      <alignment horizontal="center" wrapText="1"/>
    </xf>
    <xf numFmtId="0" fontId="2" fillId="0" borderId="0" xfId="0" applyFont="1" applyAlignment="1">
      <alignment wrapText="1"/>
    </xf>
    <xf numFmtId="4" fontId="2" fillId="0" borderId="0" xfId="0" applyNumberFormat="1" applyFont="1" applyAlignment="1">
      <alignment wrapText="1"/>
    </xf>
    <xf numFmtId="164" fontId="4" fillId="0" borderId="2" xfId="0" applyNumberFormat="1" applyFont="1" applyBorder="1" applyAlignment="1">
      <alignment wrapText="1"/>
    </xf>
    <xf numFmtId="164" fontId="2" fillId="0" borderId="0" xfId="0" applyNumberFormat="1" applyFont="1" applyAlignment="1">
      <alignment wrapText="1"/>
    </xf>
    <xf numFmtId="40" fontId="2" fillId="0" borderId="0" xfId="0" applyNumberFormat="1" applyFont="1" applyAlignment="1">
      <alignment wrapText="1"/>
    </xf>
    <xf numFmtId="40" fontId="4" fillId="0" borderId="2" xfId="0" applyNumberFormat="1" applyFont="1" applyBorder="1" applyAlignment="1">
      <alignment wrapText="1"/>
    </xf>
    <xf numFmtId="40" fontId="0" fillId="0" borderId="0" xfId="0" applyNumberFormat="1" applyAlignment="1">
      <alignment wrapText="1"/>
    </xf>
    <xf numFmtId="0" fontId="4" fillId="0" borderId="0" xfId="0" applyFont="1" applyAlignment="1">
      <alignment horizontal="left" wrapText="1" indent="5"/>
    </xf>
    <xf numFmtId="0" fontId="4" fillId="0" borderId="0" xfId="0" applyFont="1" applyAlignment="1">
      <alignment horizontal="left" wrapText="1" indent="6"/>
    </xf>
    <xf numFmtId="164" fontId="4" fillId="0" borderId="3" xfId="0" applyNumberFormat="1" applyFont="1" applyBorder="1" applyAlignment="1">
      <alignment wrapText="1"/>
    </xf>
    <xf numFmtId="40" fontId="0" fillId="0" borderId="0" xfId="0" applyNumberFormat="1"/>
    <xf numFmtId="0" fontId="8" fillId="0" borderId="0" xfId="0" applyFont="1"/>
    <xf numFmtId="0" fontId="9" fillId="0" borderId="0" xfId="0" applyFont="1" applyAlignment="1">
      <alignment horizontal="center"/>
    </xf>
    <xf numFmtId="0" fontId="0" fillId="0" borderId="0" xfId="0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2" fillId="0" borderId="0" xfId="0" applyFont="1" applyAlignment="1">
      <alignment horizontal="left" wrapText="1"/>
    </xf>
    <xf numFmtId="39" fontId="13" fillId="0" borderId="0" xfId="0" applyNumberFormat="1" applyFont="1" applyAlignment="1">
      <alignment wrapText="1"/>
    </xf>
    <xf numFmtId="39" fontId="13" fillId="0" borderId="0" xfId="0" applyNumberFormat="1" applyFont="1" applyAlignment="1">
      <alignment horizontal="right" wrapText="1"/>
    </xf>
    <xf numFmtId="10" fontId="13" fillId="0" borderId="0" xfId="0" applyNumberFormat="1" applyFont="1" applyAlignment="1">
      <alignment horizontal="right" wrapText="1"/>
    </xf>
    <xf numFmtId="40" fontId="13" fillId="0" borderId="0" xfId="0" applyNumberFormat="1" applyFont="1" applyAlignment="1">
      <alignment horizontal="right" wrapText="1"/>
    </xf>
    <xf numFmtId="165" fontId="12" fillId="0" borderId="2" xfId="0" applyNumberFormat="1" applyFont="1" applyBorder="1" applyAlignment="1">
      <alignment horizontal="right" wrapText="1"/>
    </xf>
    <xf numFmtId="166" fontId="12" fillId="0" borderId="2" xfId="0" applyNumberFormat="1" applyFont="1" applyBorder="1" applyAlignment="1">
      <alignment horizontal="right" wrapText="1"/>
    </xf>
    <xf numFmtId="10" fontId="12" fillId="0" borderId="2" xfId="0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center" wrapText="1"/>
    </xf>
    <xf numFmtId="39" fontId="15" fillId="0" borderId="0" xfId="0" applyNumberFormat="1" applyFont="1" applyAlignment="1">
      <alignment wrapText="1"/>
    </xf>
    <xf numFmtId="39" fontId="15" fillId="0" borderId="0" xfId="0" applyNumberFormat="1" applyFont="1" applyAlignment="1">
      <alignment horizontal="right" wrapText="1"/>
    </xf>
    <xf numFmtId="39" fontId="15" fillId="3" borderId="0" xfId="0" applyNumberFormat="1" applyFont="1" applyFill="1" applyAlignment="1">
      <alignment horizontal="right" wrapText="1"/>
    </xf>
    <xf numFmtId="165" fontId="16" fillId="0" borderId="2" xfId="0" applyNumberFormat="1" applyFont="1" applyBorder="1" applyAlignment="1">
      <alignment horizontal="right" wrapText="1"/>
    </xf>
    <xf numFmtId="39" fontId="15" fillId="2" borderId="0" xfId="0" applyNumberFormat="1" applyFont="1" applyFill="1" applyAlignment="1">
      <alignment horizontal="right" wrapText="1"/>
    </xf>
    <xf numFmtId="39" fontId="15" fillId="4" borderId="0" xfId="0" applyNumberFormat="1" applyFont="1" applyFill="1" applyAlignment="1">
      <alignment horizontal="right" wrapText="1"/>
    </xf>
    <xf numFmtId="165" fontId="16" fillId="0" borderId="3" xfId="0" applyNumberFormat="1" applyFont="1" applyBorder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0" fontId="2" fillId="2" borderId="0" xfId="0" applyFont="1" applyFill="1"/>
    <xf numFmtId="0" fontId="2" fillId="4" borderId="0" xfId="0" applyFont="1" applyFill="1"/>
    <xf numFmtId="0" fontId="16" fillId="0" borderId="0" xfId="0" applyFont="1" applyAlignment="1">
      <alignment horizontal="left" wrapText="1"/>
    </xf>
    <xf numFmtId="10" fontId="15" fillId="0" borderId="0" xfId="0" applyNumberFormat="1" applyFont="1" applyAlignment="1">
      <alignment horizontal="right" wrapText="1"/>
    </xf>
    <xf numFmtId="0" fontId="12" fillId="3" borderId="0" xfId="0" applyFont="1" applyFill="1" applyAlignment="1">
      <alignment horizontal="left" wrapText="1"/>
    </xf>
    <xf numFmtId="39" fontId="13" fillId="3" borderId="0" xfId="0" applyNumberFormat="1" applyFont="1" applyFill="1" applyAlignment="1">
      <alignment horizontal="right" wrapText="1"/>
    </xf>
    <xf numFmtId="10" fontId="13" fillId="3" borderId="0" xfId="0" applyNumberFormat="1" applyFont="1" applyFill="1" applyAlignment="1">
      <alignment horizontal="right" wrapText="1"/>
    </xf>
    <xf numFmtId="0" fontId="12" fillId="4" borderId="0" xfId="0" applyFont="1" applyFill="1" applyAlignment="1">
      <alignment horizontal="left" wrapText="1"/>
    </xf>
    <xf numFmtId="39" fontId="13" fillId="4" borderId="0" xfId="0" applyNumberFormat="1" applyFont="1" applyFill="1" applyAlignment="1">
      <alignment horizontal="right" wrapText="1"/>
    </xf>
    <xf numFmtId="40" fontId="13" fillId="4" borderId="0" xfId="0" applyNumberFormat="1" applyFont="1" applyFill="1" applyAlignment="1">
      <alignment horizontal="right" wrapText="1"/>
    </xf>
    <xf numFmtId="10" fontId="13" fillId="4" borderId="0" xfId="0" applyNumberFormat="1" applyFont="1" applyFill="1" applyAlignment="1">
      <alignment horizontal="right" wrapText="1"/>
    </xf>
    <xf numFmtId="0" fontId="12" fillId="2" borderId="0" xfId="0" applyFont="1" applyFill="1" applyAlignment="1">
      <alignment horizontal="left" wrapText="1"/>
    </xf>
    <xf numFmtId="39" fontId="13" fillId="2" borderId="0" xfId="0" applyNumberFormat="1" applyFont="1" applyFill="1" applyAlignment="1">
      <alignment horizontal="right" wrapText="1"/>
    </xf>
    <xf numFmtId="40" fontId="13" fillId="2" borderId="0" xfId="0" applyNumberFormat="1" applyFont="1" applyFill="1" applyAlignment="1">
      <alignment horizontal="right" wrapText="1"/>
    </xf>
    <xf numFmtId="10" fontId="13" fillId="2" borderId="0" xfId="0" applyNumberFormat="1" applyFont="1" applyFill="1" applyAlignment="1">
      <alignment horizontal="right" wrapText="1"/>
    </xf>
    <xf numFmtId="0" fontId="15" fillId="3" borderId="0" xfId="0" applyFont="1" applyFill="1" applyAlignment="1">
      <alignment horizontal="left"/>
    </xf>
    <xf numFmtId="0" fontId="2" fillId="5" borderId="0" xfId="0" applyFont="1" applyFill="1"/>
    <xf numFmtId="4" fontId="2" fillId="5" borderId="0" xfId="0" applyNumberFormat="1" applyFont="1" applyFill="1" applyAlignment="1">
      <alignment wrapText="1"/>
    </xf>
  </cellXfs>
  <cellStyles count="4">
    <cellStyle name="GroupedCellStyle" xfId="2" xr:uid="{00000000-0005-0000-0000-000007000000}"/>
    <cellStyle name="HeaderCellStyle" xfId="1" xr:uid="{00000000-0005-0000-0000-000006000000}"/>
    <cellStyle name="Normal" xfId="0" builtinId="0"/>
    <cellStyle name="TotalCellStyle" xfId="3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880FE-9152-46AD-AED5-4757550A7B16}">
  <dimension ref="A1:G42"/>
  <sheetViews>
    <sheetView tabSelected="1" topLeftCell="A17" workbookViewId="0">
      <selection activeCell="H43" sqref="H43"/>
    </sheetView>
  </sheetViews>
  <sheetFormatPr defaultRowHeight="15.9" x14ac:dyDescent="0.45"/>
  <cols>
    <col min="1" max="1" width="31.140625" customWidth="1"/>
    <col min="2" max="3" width="10.28515625" bestFit="1" customWidth="1"/>
    <col min="4" max="4" width="9.640625" bestFit="1" customWidth="1"/>
    <col min="5" max="5" width="8.5" bestFit="1" customWidth="1"/>
    <col min="6" max="6" width="11.35546875" bestFit="1" customWidth="1"/>
  </cols>
  <sheetData>
    <row r="1" spans="1:6" ht="18" x14ac:dyDescent="0.45">
      <c r="A1" s="32" t="s">
        <v>0</v>
      </c>
      <c r="B1" s="33"/>
      <c r="C1" s="33"/>
      <c r="D1" s="33"/>
      <c r="E1" s="33"/>
    </row>
    <row r="2" spans="1:6" ht="18" x14ac:dyDescent="0.45">
      <c r="A2" s="32" t="s">
        <v>1050</v>
      </c>
      <c r="B2" s="33"/>
      <c r="C2" s="33"/>
      <c r="D2" s="33"/>
      <c r="E2" s="33"/>
    </row>
    <row r="3" spans="1:6" x14ac:dyDescent="0.45">
      <c r="A3" s="34" t="s">
        <v>1051</v>
      </c>
      <c r="B3" s="33"/>
      <c r="C3" s="33"/>
      <c r="D3" s="33"/>
      <c r="E3" s="33"/>
    </row>
    <row r="4" spans="1:6" ht="6.45" customHeight="1" x14ac:dyDescent="0.45"/>
    <row r="5" spans="1:6" x14ac:dyDescent="0.45">
      <c r="A5" s="18"/>
      <c r="B5" s="35" t="s">
        <v>183</v>
      </c>
      <c r="C5" s="3"/>
      <c r="D5" s="3"/>
      <c r="E5" s="3"/>
    </row>
    <row r="6" spans="1:6" ht="24.45" x14ac:dyDescent="0.45">
      <c r="A6" s="18"/>
      <c r="B6" s="36" t="s">
        <v>1052</v>
      </c>
      <c r="C6" s="36" t="s">
        <v>1082</v>
      </c>
      <c r="D6" s="36" t="s">
        <v>1053</v>
      </c>
      <c r="E6" s="36" t="s">
        <v>1054</v>
      </c>
      <c r="F6" s="45" t="s">
        <v>1077</v>
      </c>
    </row>
    <row r="7" spans="1:6" x14ac:dyDescent="0.45">
      <c r="A7" s="37" t="s">
        <v>3</v>
      </c>
      <c r="B7" s="38"/>
      <c r="C7" s="38"/>
      <c r="D7" s="38"/>
      <c r="E7" s="38"/>
      <c r="F7" s="46"/>
    </row>
    <row r="8" spans="1:6" x14ac:dyDescent="0.45">
      <c r="A8" s="37" t="s">
        <v>1055</v>
      </c>
      <c r="B8" s="39">
        <f>621047.41</f>
        <v>621047.41</v>
      </c>
      <c r="C8" s="39">
        <f>613653.06</f>
        <v>613653.06000000006</v>
      </c>
      <c r="D8" s="39">
        <f t="shared" ref="D8:D19" si="0">(B8)-(C8)</f>
        <v>7394.3499999999767</v>
      </c>
      <c r="E8" s="40">
        <f t="shared" ref="E8:E19" si="1">IF(C8=0,"",(B8)/(C8))</f>
        <v>1.0120497239922506</v>
      </c>
      <c r="F8" s="47">
        <f>844479.52</f>
        <v>844479.52</v>
      </c>
    </row>
    <row r="9" spans="1:6" x14ac:dyDescent="0.45">
      <c r="A9" s="37" t="s">
        <v>1056</v>
      </c>
      <c r="B9" s="39">
        <f>120208.07-86508.84</f>
        <v>33699.23000000001</v>
      </c>
      <c r="C9" s="39">
        <f>112949.55-86508.84</f>
        <v>26440.710000000006</v>
      </c>
      <c r="D9" s="39">
        <f t="shared" si="0"/>
        <v>7258.5200000000041</v>
      </c>
      <c r="E9" s="40">
        <f>IF(C9=0,"",(B9)/(C9))</f>
        <v>1.2745206161256639</v>
      </c>
      <c r="F9" s="47">
        <f>115749.55-86508.84</f>
        <v>29240.710000000006</v>
      </c>
    </row>
    <row r="10" spans="1:6" x14ac:dyDescent="0.45">
      <c r="A10" s="56" t="s">
        <v>1078</v>
      </c>
      <c r="B10" s="47">
        <v>86508.84</v>
      </c>
      <c r="C10" s="47">
        <v>86508.84</v>
      </c>
      <c r="D10" s="47">
        <v>0</v>
      </c>
      <c r="E10" s="57">
        <v>0</v>
      </c>
      <c r="F10" s="47">
        <v>86508.84</v>
      </c>
    </row>
    <row r="11" spans="1:6" x14ac:dyDescent="0.45">
      <c r="A11" s="37" t="s">
        <v>1057</v>
      </c>
      <c r="B11" s="39">
        <f>5378.77</f>
        <v>5378.77</v>
      </c>
      <c r="C11" s="39">
        <f>5435</f>
        <v>5435</v>
      </c>
      <c r="D11" s="41">
        <f t="shared" si="0"/>
        <v>-56.229999999999563</v>
      </c>
      <c r="E11" s="40">
        <f t="shared" si="1"/>
        <v>0.98965409383624658</v>
      </c>
      <c r="F11" s="47">
        <f>7300</f>
        <v>7300</v>
      </c>
    </row>
    <row r="12" spans="1:6" x14ac:dyDescent="0.45">
      <c r="A12" s="58" t="s">
        <v>1058</v>
      </c>
      <c r="B12" s="59">
        <f>107751.16</f>
        <v>107751.16</v>
      </c>
      <c r="C12" s="59">
        <f>33250</f>
        <v>33250</v>
      </c>
      <c r="D12" s="59">
        <f t="shared" si="0"/>
        <v>74501.16</v>
      </c>
      <c r="E12" s="60">
        <f t="shared" si="1"/>
        <v>3.2406363909774436</v>
      </c>
      <c r="F12" s="48">
        <f>45500</f>
        <v>45500</v>
      </c>
    </row>
    <row r="13" spans="1:6" x14ac:dyDescent="0.45">
      <c r="A13" s="37" t="s">
        <v>1059</v>
      </c>
      <c r="B13" s="39">
        <f>10000</f>
        <v>10000</v>
      </c>
      <c r="C13" s="39">
        <f>0</f>
        <v>0</v>
      </c>
      <c r="D13" s="39">
        <f t="shared" si="0"/>
        <v>10000</v>
      </c>
      <c r="E13" s="40">
        <v>1</v>
      </c>
      <c r="F13" s="47">
        <f>1500</f>
        <v>1500</v>
      </c>
    </row>
    <row r="14" spans="1:6" x14ac:dyDescent="0.45">
      <c r="A14" s="37" t="s">
        <v>1060</v>
      </c>
      <c r="B14" s="39">
        <f>120217.6</f>
        <v>120217.60000000001</v>
      </c>
      <c r="C14" s="39">
        <f>329083</f>
        <v>329083</v>
      </c>
      <c r="D14" s="41">
        <f t="shared" si="0"/>
        <v>-208865.4</v>
      </c>
      <c r="E14" s="40">
        <f t="shared" si="1"/>
        <v>0.36531087901836318</v>
      </c>
      <c r="F14" s="47">
        <f>260975+68108</f>
        <v>329083</v>
      </c>
    </row>
    <row r="15" spans="1:6" x14ac:dyDescent="0.45">
      <c r="A15" s="37" t="s">
        <v>1061</v>
      </c>
      <c r="B15" s="38">
        <v>0</v>
      </c>
      <c r="C15" s="39">
        <f>14115.11</f>
        <v>14115.11</v>
      </c>
      <c r="D15" s="41">
        <f t="shared" si="0"/>
        <v>-14115.11</v>
      </c>
      <c r="E15" s="40">
        <f t="shared" si="1"/>
        <v>0</v>
      </c>
      <c r="F15" s="47">
        <f>95898.16</f>
        <v>95898.16</v>
      </c>
    </row>
    <row r="16" spans="1:6" x14ac:dyDescent="0.45">
      <c r="A16" s="37" t="s">
        <v>1062</v>
      </c>
      <c r="B16" s="39">
        <f>99181.77</f>
        <v>99181.77</v>
      </c>
      <c r="C16" s="39">
        <f>92423.17</f>
        <v>92423.17</v>
      </c>
      <c r="D16" s="39">
        <f t="shared" si="0"/>
        <v>6758.6000000000058</v>
      </c>
      <c r="E16" s="40">
        <f t="shared" si="1"/>
        <v>1.0731266845748746</v>
      </c>
      <c r="F16" s="47">
        <f>123230.9</f>
        <v>123230.9</v>
      </c>
    </row>
    <row r="17" spans="1:6" x14ac:dyDescent="0.45">
      <c r="A17" s="37" t="s">
        <v>1063</v>
      </c>
      <c r="B17" s="39">
        <f>8425</f>
        <v>8425</v>
      </c>
      <c r="C17" s="39">
        <f>7950</f>
        <v>7950</v>
      </c>
      <c r="D17" s="39">
        <f t="shared" si="0"/>
        <v>475</v>
      </c>
      <c r="E17" s="40">
        <f t="shared" si="1"/>
        <v>1.0597484276729561</v>
      </c>
      <c r="F17" s="47">
        <f>14000</f>
        <v>14000</v>
      </c>
    </row>
    <row r="18" spans="1:6" x14ac:dyDescent="0.45">
      <c r="A18" s="37" t="s">
        <v>1064</v>
      </c>
      <c r="B18" s="42">
        <f>SUM(B8:B17)</f>
        <v>1092209.78</v>
      </c>
      <c r="C18" s="42">
        <f>SUM(C8:C17)</f>
        <v>1208858.8899999999</v>
      </c>
      <c r="D18" s="43">
        <f>(B18)-(C18)</f>
        <v>-116649.10999999987</v>
      </c>
      <c r="E18" s="44">
        <f t="shared" si="1"/>
        <v>0.90350477548293506</v>
      </c>
      <c r="F18" s="49">
        <f>SUM(F8:F17)</f>
        <v>1576741.1299999997</v>
      </c>
    </row>
    <row r="19" spans="1:6" x14ac:dyDescent="0.45">
      <c r="A19" s="37" t="s">
        <v>42</v>
      </c>
      <c r="B19" s="42">
        <f>(B18)-(0)</f>
        <v>1092209.78</v>
      </c>
      <c r="C19" s="42">
        <f>(C18)-(0)</f>
        <v>1208858.8899999999</v>
      </c>
      <c r="D19" s="43">
        <f t="shared" si="0"/>
        <v>-116649.10999999987</v>
      </c>
      <c r="E19" s="44">
        <f t="shared" si="1"/>
        <v>0.90350477548293506</v>
      </c>
      <c r="F19" s="49">
        <f>(F18)-(0)</f>
        <v>1576741.1299999997</v>
      </c>
    </row>
    <row r="20" spans="1:6" x14ac:dyDescent="0.45">
      <c r="A20" s="37" t="s">
        <v>43</v>
      </c>
      <c r="B20" s="38"/>
      <c r="C20" s="38"/>
      <c r="D20" s="38"/>
      <c r="E20" s="38"/>
    </row>
    <row r="21" spans="1:6" x14ac:dyDescent="0.45">
      <c r="A21" s="37" t="s">
        <v>1065</v>
      </c>
      <c r="B21" s="39">
        <f>89145</f>
        <v>89145</v>
      </c>
      <c r="C21" s="39">
        <f>90368.33</f>
        <v>90368.33</v>
      </c>
      <c r="D21" s="41">
        <f t="shared" ref="D21:D31" si="2">(B21)-(C21)</f>
        <v>-1223.3300000000017</v>
      </c>
      <c r="E21" s="40">
        <f t="shared" ref="E21:E31" si="3">IF(C21=0,"",(B21)/(C21))</f>
        <v>0.9864628459992566</v>
      </c>
      <c r="F21" s="47">
        <f>131789.54</f>
        <v>131789.54</v>
      </c>
    </row>
    <row r="22" spans="1:6" x14ac:dyDescent="0.45">
      <c r="A22" s="37" t="s">
        <v>1066</v>
      </c>
      <c r="B22" s="39">
        <f>150833.92</f>
        <v>150833.92000000001</v>
      </c>
      <c r="C22" s="39">
        <f>285103.12</f>
        <v>285103.12</v>
      </c>
      <c r="D22" s="41">
        <f t="shared" si="2"/>
        <v>-134269.19999999998</v>
      </c>
      <c r="E22" s="40">
        <f t="shared" si="3"/>
        <v>0.52905040113205359</v>
      </c>
      <c r="F22" s="47">
        <f>407602.61</f>
        <v>407602.61</v>
      </c>
    </row>
    <row r="23" spans="1:6" x14ac:dyDescent="0.45">
      <c r="A23" s="65" t="s">
        <v>1067</v>
      </c>
      <c r="B23" s="66">
        <f>287923.54-68108</f>
        <v>219815.53999999998</v>
      </c>
      <c r="C23" s="66">
        <f>427299.81</f>
        <v>427299.81</v>
      </c>
      <c r="D23" s="67">
        <f t="shared" si="2"/>
        <v>-207484.27000000002</v>
      </c>
      <c r="E23" s="68">
        <f t="shared" si="3"/>
        <v>0.51442929497207124</v>
      </c>
      <c r="F23" s="50">
        <f>605767.61</f>
        <v>605767.61</v>
      </c>
    </row>
    <row r="24" spans="1:6" x14ac:dyDescent="0.45">
      <c r="A24" s="37" t="s">
        <v>1068</v>
      </c>
      <c r="B24" s="39">
        <f>24867</f>
        <v>24867</v>
      </c>
      <c r="C24" s="39">
        <f>24867</f>
        <v>24867</v>
      </c>
      <c r="D24" s="39">
        <f t="shared" si="2"/>
        <v>0</v>
      </c>
      <c r="E24" s="40">
        <f t="shared" si="3"/>
        <v>1</v>
      </c>
      <c r="F24" s="47">
        <f>24867</f>
        <v>24867</v>
      </c>
    </row>
    <row r="25" spans="1:6" x14ac:dyDescent="0.45">
      <c r="A25" s="37" t="s">
        <v>1069</v>
      </c>
      <c r="B25" s="38">
        <v>68108</v>
      </c>
      <c r="C25" s="39">
        <f>68108</f>
        <v>68108</v>
      </c>
      <c r="D25" s="41">
        <f t="shared" si="2"/>
        <v>0</v>
      </c>
      <c r="E25" s="40">
        <f t="shared" si="3"/>
        <v>1</v>
      </c>
      <c r="F25" s="47">
        <v>68108</v>
      </c>
    </row>
    <row r="26" spans="1:6" x14ac:dyDescent="0.45">
      <c r="A26" s="37" t="s">
        <v>1070</v>
      </c>
      <c r="B26" s="39">
        <v>125015.51</v>
      </c>
      <c r="C26" s="39">
        <f>125015.51</f>
        <v>125015.51</v>
      </c>
      <c r="D26" s="41">
        <f>(B26)-(C26)</f>
        <v>0</v>
      </c>
      <c r="E26" s="40">
        <f t="shared" si="3"/>
        <v>1</v>
      </c>
      <c r="F26" s="47">
        <f>164188.82</f>
        <v>164188.82</v>
      </c>
    </row>
    <row r="27" spans="1:6" x14ac:dyDescent="0.45">
      <c r="A27" s="37" t="s">
        <v>1071</v>
      </c>
      <c r="B27" s="39">
        <f>6454.03</f>
        <v>6454.03</v>
      </c>
      <c r="C27" s="39">
        <f>9470</f>
        <v>9470</v>
      </c>
      <c r="D27" s="41">
        <f t="shared" si="2"/>
        <v>-3015.9700000000003</v>
      </c>
      <c r="E27" s="40">
        <f t="shared" si="3"/>
        <v>0.68152375923970432</v>
      </c>
      <c r="F27" s="47">
        <f>16170</f>
        <v>16170</v>
      </c>
    </row>
    <row r="28" spans="1:6" x14ac:dyDescent="0.45">
      <c r="A28" s="37" t="s">
        <v>1072</v>
      </c>
      <c r="B28" s="39">
        <f>14467.24</f>
        <v>14467.24</v>
      </c>
      <c r="C28" s="39">
        <f>16873.29</f>
        <v>16873.29</v>
      </c>
      <c r="D28" s="41">
        <f t="shared" si="2"/>
        <v>-2406.0500000000011</v>
      </c>
      <c r="E28" s="40">
        <f t="shared" si="3"/>
        <v>0.85740480961330001</v>
      </c>
      <c r="F28" s="47">
        <f>29519.72</f>
        <v>29519.72</v>
      </c>
    </row>
    <row r="29" spans="1:6" x14ac:dyDescent="0.45">
      <c r="A29" s="61" t="s">
        <v>1073</v>
      </c>
      <c r="B29" s="62">
        <f>60110.64</f>
        <v>60110.64</v>
      </c>
      <c r="C29" s="62">
        <f>75102.83</f>
        <v>75102.83</v>
      </c>
      <c r="D29" s="63">
        <f t="shared" si="2"/>
        <v>-14992.190000000002</v>
      </c>
      <c r="E29" s="64">
        <f t="shared" si="3"/>
        <v>0.80037782863841478</v>
      </c>
      <c r="F29" s="51">
        <f>128727.83</f>
        <v>128727.83</v>
      </c>
    </row>
    <row r="30" spans="1:6" x14ac:dyDescent="0.45">
      <c r="A30" s="37" t="s">
        <v>1074</v>
      </c>
      <c r="B30" s="42">
        <f>((((((((B21)+(B22))+(B23))+(B24))+(B25))+(B26))+(B27))+(B28))+(B29)</f>
        <v>758816.88</v>
      </c>
      <c r="C30" s="42">
        <f>((((((((C21)+(C22))+(C23))+(C24))+(C25))+(C26))+(C27))+(C28))+(C29)</f>
        <v>1122207.8900000001</v>
      </c>
      <c r="D30" s="43">
        <f>(B30)-(C30)</f>
        <v>-363391.01000000013</v>
      </c>
      <c r="E30" s="44">
        <f t="shared" si="3"/>
        <v>0.67618209314140532</v>
      </c>
      <c r="F30" s="52">
        <f>+SUM(F21:F29)</f>
        <v>1576741.1300000001</v>
      </c>
    </row>
    <row r="31" spans="1:6" x14ac:dyDescent="0.45">
      <c r="A31" s="37" t="s">
        <v>169</v>
      </c>
      <c r="B31" s="42">
        <f>(B19)-(B30)</f>
        <v>333392.90000000002</v>
      </c>
      <c r="C31" s="42">
        <f>(C19)-(C30)</f>
        <v>86650.999999999767</v>
      </c>
      <c r="D31" s="42">
        <f t="shared" si="2"/>
        <v>246741.90000000026</v>
      </c>
      <c r="E31" s="44">
        <f t="shared" si="3"/>
        <v>3.8475366700903733</v>
      </c>
      <c r="F31" s="53">
        <f>+F19-F30</f>
        <v>0</v>
      </c>
    </row>
    <row r="32" spans="1:6" x14ac:dyDescent="0.45">
      <c r="A32" s="37" t="s">
        <v>170</v>
      </c>
      <c r="B32" s="38"/>
      <c r="C32" s="38"/>
      <c r="D32" s="38"/>
      <c r="E32" s="38"/>
    </row>
    <row r="33" spans="1:7" x14ac:dyDescent="0.45">
      <c r="A33" s="37" t="s">
        <v>1075</v>
      </c>
      <c r="B33" s="39">
        <f>1500</f>
        <v>1500</v>
      </c>
      <c r="C33" s="38"/>
      <c r="D33" s="39">
        <f>(B33)-(C33)</f>
        <v>1500</v>
      </c>
      <c r="E33" s="40" t="str">
        <f>IF(C33=0,"",(B33)/(C33))</f>
        <v/>
      </c>
    </row>
    <row r="34" spans="1:7" x14ac:dyDescent="0.45">
      <c r="A34" s="37" t="s">
        <v>1076</v>
      </c>
      <c r="B34" s="42">
        <f>B33</f>
        <v>1500</v>
      </c>
      <c r="C34" s="42">
        <f>C33</f>
        <v>0</v>
      </c>
      <c r="D34" s="42">
        <f>(B34)-(C34)</f>
        <v>1500</v>
      </c>
      <c r="E34" s="44" t="str">
        <f>IF(C34=0,"",(B34)/(C34))</f>
        <v/>
      </c>
    </row>
    <row r="35" spans="1:7" x14ac:dyDescent="0.45">
      <c r="A35" s="37" t="s">
        <v>173</v>
      </c>
      <c r="B35" s="43">
        <f>(0)-(B34)</f>
        <v>-1500</v>
      </c>
      <c r="C35" s="42">
        <f>(0)-(C34)</f>
        <v>0</v>
      </c>
      <c r="D35" s="43">
        <f>(B35)-(C35)</f>
        <v>-1500</v>
      </c>
      <c r="E35" s="44" t="str">
        <f>IF(C35=0,"",(B35)/(C35))</f>
        <v/>
      </c>
      <c r="F35" s="5"/>
    </row>
    <row r="36" spans="1:7" x14ac:dyDescent="0.45">
      <c r="A36" s="37" t="s">
        <v>174</v>
      </c>
      <c r="B36" s="42">
        <f>(B31)+(B35)</f>
        <v>331892.90000000002</v>
      </c>
      <c r="C36" s="42">
        <f>(C31)+(C35)</f>
        <v>86650.999999999767</v>
      </c>
      <c r="D36" s="42">
        <f>(B36)-(C36)</f>
        <v>245241.90000000026</v>
      </c>
      <c r="E36" s="44">
        <f>IF(C36=0,"",(B36)/(C36))</f>
        <v>3.8302258485187815</v>
      </c>
      <c r="F36" s="70"/>
    </row>
    <row r="37" spans="1:7" ht="7.3" customHeight="1" x14ac:dyDescent="0.45">
      <c r="A37" s="37"/>
      <c r="B37" s="38"/>
      <c r="C37" s="38"/>
      <c r="D37" s="38"/>
      <c r="E37" s="38"/>
      <c r="F37" s="5"/>
    </row>
    <row r="38" spans="1:7" x14ac:dyDescent="0.45">
      <c r="A38" s="69" t="s">
        <v>1081</v>
      </c>
      <c r="B38" s="69"/>
      <c r="C38" s="69"/>
      <c r="D38" s="69"/>
      <c r="E38" s="69"/>
      <c r="F38" s="69"/>
    </row>
    <row r="39" spans="1:7" ht="7.75" customHeight="1" x14ac:dyDescent="0.45">
      <c r="A39" s="5"/>
      <c r="B39" s="5"/>
      <c r="C39" s="5"/>
      <c r="D39" s="5"/>
      <c r="E39" s="5"/>
      <c r="F39" s="5"/>
    </row>
    <row r="40" spans="1:7" x14ac:dyDescent="0.45">
      <c r="A40" s="54" t="s">
        <v>1079</v>
      </c>
      <c r="B40" s="54"/>
      <c r="C40" s="54"/>
      <c r="D40" s="54"/>
      <c r="E40" s="54"/>
      <c r="F40" s="54"/>
      <c r="G40" s="5"/>
    </row>
    <row r="41" spans="1:7" ht="8.15" customHeight="1" x14ac:dyDescent="0.45">
      <c r="A41" s="5"/>
      <c r="B41" s="5"/>
      <c r="C41" s="5"/>
      <c r="D41" s="5"/>
      <c r="E41" s="5"/>
      <c r="F41" s="5"/>
    </row>
    <row r="42" spans="1:7" x14ac:dyDescent="0.45">
      <c r="A42" s="55" t="s">
        <v>1080</v>
      </c>
      <c r="B42" s="55"/>
      <c r="C42" s="55"/>
      <c r="D42" s="55"/>
      <c r="E42" s="55"/>
      <c r="F42" s="55"/>
    </row>
  </sheetData>
  <mergeCells count="5">
    <mergeCell ref="A1:E1"/>
    <mergeCell ref="A2:E2"/>
    <mergeCell ref="A3:E3"/>
    <mergeCell ref="B5:E5"/>
    <mergeCell ref="A38:F38"/>
  </mergeCells>
  <pageMargins left="0.45" right="0.2" top="0.25" bottom="0.2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B3FEF-A70D-B944-82F4-C9836B181100}">
  <dimension ref="A1:I178"/>
  <sheetViews>
    <sheetView topLeftCell="A153" workbookViewId="0">
      <selection activeCell="I145" sqref="I145"/>
    </sheetView>
  </sheetViews>
  <sheetFormatPr defaultColWidth="11.28515625" defaultRowHeight="15.9" x14ac:dyDescent="0.45"/>
  <cols>
    <col min="1" max="1" width="41.85546875" style="18" customWidth="1"/>
    <col min="2" max="2" width="9.140625" style="18" bestFit="1" customWidth="1"/>
    <col min="3" max="3" width="9.640625" style="18" bestFit="1" customWidth="1"/>
    <col min="4" max="4" width="7.7109375" style="18" bestFit="1" customWidth="1"/>
    <col min="5" max="5" width="8" style="18" bestFit="1" customWidth="1"/>
    <col min="6" max="6" width="7.42578125" style="18" bestFit="1" customWidth="1"/>
    <col min="7" max="7" width="7.7109375" style="18" bestFit="1" customWidth="1"/>
    <col min="8" max="8" width="7.2109375" style="18" bestFit="1" customWidth="1"/>
    <col min="9" max="9" width="9.640625" style="18" bestFit="1" customWidth="1"/>
  </cols>
  <sheetData>
    <row r="1" spans="1:9" x14ac:dyDescent="0.45">
      <c r="A1" s="4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45">
      <c r="A2" s="2" t="s">
        <v>1</v>
      </c>
      <c r="B2" s="3"/>
      <c r="C2" s="3"/>
      <c r="D2" s="3"/>
      <c r="E2" s="3"/>
      <c r="F2" s="3"/>
      <c r="G2" s="3"/>
      <c r="H2" s="3"/>
      <c r="I2" s="3"/>
    </row>
    <row r="3" spans="1:9" x14ac:dyDescent="0.45">
      <c r="A3" s="1" t="s">
        <v>2</v>
      </c>
      <c r="B3" s="3"/>
      <c r="C3" s="3"/>
      <c r="D3" s="3"/>
      <c r="E3" s="3"/>
      <c r="F3" s="3"/>
      <c r="G3" s="3"/>
      <c r="H3" s="3"/>
      <c r="I3" s="3"/>
    </row>
    <row r="5" spans="1:9" x14ac:dyDescent="0.45">
      <c r="A5" s="19" t="s">
        <v>175</v>
      </c>
      <c r="B5" s="19" t="s">
        <v>176</v>
      </c>
      <c r="C5" s="19" t="s">
        <v>177</v>
      </c>
      <c r="D5" s="19" t="s">
        <v>178</v>
      </c>
      <c r="E5" s="19" t="s">
        <v>179</v>
      </c>
      <c r="F5" s="19" t="s">
        <v>180</v>
      </c>
      <c r="G5" s="19" t="s">
        <v>181</v>
      </c>
      <c r="H5" s="19" t="s">
        <v>182</v>
      </c>
      <c r="I5" s="19" t="s">
        <v>183</v>
      </c>
    </row>
    <row r="6" spans="1:9" x14ac:dyDescent="0.45">
      <c r="A6" s="7" t="s">
        <v>3</v>
      </c>
      <c r="B6" s="20"/>
      <c r="C6" s="20"/>
      <c r="D6" s="20"/>
      <c r="E6" s="20"/>
      <c r="F6" s="20"/>
      <c r="G6" s="20"/>
      <c r="H6" s="20"/>
    </row>
    <row r="7" spans="1:9" x14ac:dyDescent="0.45">
      <c r="A7" s="8" t="s">
        <v>4</v>
      </c>
      <c r="B7" s="24"/>
      <c r="C7" s="24"/>
      <c r="D7" s="24"/>
      <c r="E7" s="24"/>
      <c r="F7" s="24"/>
      <c r="G7" s="24"/>
      <c r="H7" s="24"/>
      <c r="I7" s="24"/>
    </row>
    <row r="8" spans="1:9" x14ac:dyDescent="0.45">
      <c r="A8" s="9" t="s">
        <v>5</v>
      </c>
      <c r="B8" s="24">
        <v>-2508</v>
      </c>
      <c r="C8" s="24">
        <v>-4836</v>
      </c>
      <c r="D8" s="24"/>
      <c r="E8" s="24"/>
      <c r="F8" s="24"/>
      <c r="G8" s="24"/>
      <c r="H8" s="24"/>
      <c r="I8" s="24">
        <f t="shared" ref="I8:I13" si="0">B8+C8+D8+E8+F8+G8+H8</f>
        <v>-7344</v>
      </c>
    </row>
    <row r="9" spans="1:9" x14ac:dyDescent="0.45">
      <c r="A9" s="9" t="s">
        <v>6</v>
      </c>
      <c r="B9" s="24">
        <v>2431362.11</v>
      </c>
      <c r="C9" s="24">
        <v>-1817324.18</v>
      </c>
      <c r="D9" s="24"/>
      <c r="E9" s="24"/>
      <c r="F9" s="24">
        <v>1837.02</v>
      </c>
      <c r="G9" s="24"/>
      <c r="H9" s="24"/>
      <c r="I9" s="24">
        <f t="shared" si="0"/>
        <v>615874.94999999995</v>
      </c>
    </row>
    <row r="10" spans="1:9" x14ac:dyDescent="0.45">
      <c r="A10" s="9" t="s">
        <v>7</v>
      </c>
      <c r="B10" s="24"/>
      <c r="C10" s="24"/>
      <c r="D10" s="24"/>
      <c r="E10" s="24"/>
      <c r="F10" s="24"/>
      <c r="G10" s="24">
        <v>202.62</v>
      </c>
      <c r="H10" s="24"/>
      <c r="I10" s="24">
        <f t="shared" si="0"/>
        <v>202.62</v>
      </c>
    </row>
    <row r="11" spans="1:9" x14ac:dyDescent="0.45">
      <c r="A11" s="9" t="s">
        <v>8</v>
      </c>
      <c r="B11" s="24">
        <v>-3092.01</v>
      </c>
      <c r="C11" s="24"/>
      <c r="D11" s="24"/>
      <c r="E11" s="24"/>
      <c r="F11" s="24"/>
      <c r="G11" s="24"/>
      <c r="H11" s="24"/>
      <c r="I11" s="24">
        <f t="shared" si="0"/>
        <v>-3092.01</v>
      </c>
    </row>
    <row r="12" spans="1:9" x14ac:dyDescent="0.45">
      <c r="A12" s="9" t="s">
        <v>9</v>
      </c>
      <c r="B12" s="24"/>
      <c r="C12" s="24"/>
      <c r="D12" s="24"/>
      <c r="E12" s="24">
        <v>15405.85</v>
      </c>
      <c r="F12" s="24"/>
      <c r="G12" s="24"/>
      <c r="H12" s="24"/>
      <c r="I12" s="24">
        <f t="shared" si="0"/>
        <v>15405.85</v>
      </c>
    </row>
    <row r="13" spans="1:9" x14ac:dyDescent="0.45">
      <c r="A13" s="10" t="s">
        <v>10</v>
      </c>
      <c r="B13" s="25">
        <f t="shared" ref="B13:H13" si="1">B7+B8+B9+B10+B11+B12</f>
        <v>2425762.1</v>
      </c>
      <c r="C13" s="25">
        <f t="shared" si="1"/>
        <v>-1822160.18</v>
      </c>
      <c r="D13" s="25">
        <f t="shared" si="1"/>
        <v>0</v>
      </c>
      <c r="E13" s="25">
        <f t="shared" si="1"/>
        <v>15405.85</v>
      </c>
      <c r="F13" s="25">
        <f t="shared" si="1"/>
        <v>1837.02</v>
      </c>
      <c r="G13" s="25">
        <f t="shared" si="1"/>
        <v>202.62</v>
      </c>
      <c r="H13" s="25">
        <f t="shared" si="1"/>
        <v>0</v>
      </c>
      <c r="I13" s="25">
        <f t="shared" si="0"/>
        <v>621047.41000000015</v>
      </c>
    </row>
    <row r="14" spans="1:9" x14ac:dyDescent="0.45">
      <c r="A14" s="8" t="s">
        <v>11</v>
      </c>
      <c r="B14" s="24"/>
      <c r="C14" s="24"/>
      <c r="D14" s="24"/>
      <c r="E14" s="24"/>
      <c r="F14" s="24"/>
      <c r="G14" s="24"/>
      <c r="H14" s="24"/>
      <c r="I14" s="24"/>
    </row>
    <row r="15" spans="1:9" x14ac:dyDescent="0.45">
      <c r="A15" s="9" t="s">
        <v>12</v>
      </c>
      <c r="B15" s="24"/>
      <c r="C15" s="24"/>
      <c r="D15" s="24"/>
      <c r="E15" s="24"/>
      <c r="F15" s="24"/>
      <c r="G15" s="24">
        <v>2962</v>
      </c>
      <c r="H15" s="24"/>
      <c r="I15" s="24">
        <f t="shared" ref="I15:I22" si="2">B15+C15+D15+E15+F15+G15+H15</f>
        <v>2962</v>
      </c>
    </row>
    <row r="16" spans="1:9" x14ac:dyDescent="0.45">
      <c r="A16" s="9" t="s">
        <v>13</v>
      </c>
      <c r="B16" s="24"/>
      <c r="C16" s="24"/>
      <c r="D16" s="24"/>
      <c r="E16" s="24"/>
      <c r="F16" s="24"/>
      <c r="G16" s="24">
        <v>15858.48</v>
      </c>
      <c r="H16" s="24"/>
      <c r="I16" s="24">
        <f t="shared" si="2"/>
        <v>15858.48</v>
      </c>
    </row>
    <row r="17" spans="1:9" x14ac:dyDescent="0.45">
      <c r="A17" s="9" t="s">
        <v>14</v>
      </c>
      <c r="B17" s="24"/>
      <c r="C17" s="24"/>
      <c r="D17" s="24"/>
      <c r="E17" s="24"/>
      <c r="F17" s="24"/>
      <c r="G17" s="24"/>
      <c r="H17" s="24">
        <v>13.51</v>
      </c>
      <c r="I17" s="24">
        <f t="shared" si="2"/>
        <v>13.51</v>
      </c>
    </row>
    <row r="18" spans="1:9" x14ac:dyDescent="0.45">
      <c r="A18" s="9" t="s">
        <v>15</v>
      </c>
      <c r="B18" s="24"/>
      <c r="C18" s="24"/>
      <c r="D18" s="24"/>
      <c r="E18" s="24"/>
      <c r="F18" s="24"/>
      <c r="G18" s="24">
        <v>3324.94</v>
      </c>
      <c r="H18" s="24"/>
      <c r="I18" s="24">
        <f t="shared" si="2"/>
        <v>3324.94</v>
      </c>
    </row>
    <row r="19" spans="1:9" x14ac:dyDescent="0.45">
      <c r="A19" s="9" t="s">
        <v>16</v>
      </c>
      <c r="B19" s="24">
        <v>586.15</v>
      </c>
      <c r="C19" s="24"/>
      <c r="D19" s="24"/>
      <c r="E19" s="24"/>
      <c r="F19" s="24"/>
      <c r="G19" s="24"/>
      <c r="H19" s="24"/>
      <c r="I19" s="24">
        <f t="shared" si="2"/>
        <v>586.15</v>
      </c>
    </row>
    <row r="20" spans="1:9" x14ac:dyDescent="0.45">
      <c r="A20" s="9" t="s">
        <v>17</v>
      </c>
      <c r="B20" s="24">
        <v>78501.77</v>
      </c>
      <c r="C20" s="24">
        <v>-68255.53</v>
      </c>
      <c r="D20" s="24"/>
      <c r="E20" s="24">
        <v>707.91</v>
      </c>
      <c r="F20" s="24"/>
      <c r="G20" s="24"/>
      <c r="H20" s="24"/>
      <c r="I20" s="24">
        <f t="shared" si="2"/>
        <v>10954.150000000005</v>
      </c>
    </row>
    <row r="21" spans="1:9" x14ac:dyDescent="0.45">
      <c r="A21" s="9" t="s">
        <v>18</v>
      </c>
      <c r="B21" s="24"/>
      <c r="C21" s="24"/>
      <c r="D21" s="24"/>
      <c r="E21" s="24"/>
      <c r="F21" s="24">
        <v>86508.84</v>
      </c>
      <c r="G21" s="24"/>
      <c r="H21" s="24"/>
      <c r="I21" s="24">
        <f t="shared" si="2"/>
        <v>86508.84</v>
      </c>
    </row>
    <row r="22" spans="1:9" x14ac:dyDescent="0.45">
      <c r="A22" s="10" t="s">
        <v>19</v>
      </c>
      <c r="B22" s="25">
        <f t="shared" ref="B22:H22" si="3">B14+B15+B16+B17+B18+B19+B20+B21</f>
        <v>79087.92</v>
      </c>
      <c r="C22" s="25">
        <f t="shared" si="3"/>
        <v>-68255.53</v>
      </c>
      <c r="D22" s="25">
        <f t="shared" si="3"/>
        <v>0</v>
      </c>
      <c r="E22" s="25">
        <f t="shared" si="3"/>
        <v>707.91</v>
      </c>
      <c r="F22" s="25">
        <f t="shared" si="3"/>
        <v>86508.84</v>
      </c>
      <c r="G22" s="25">
        <f t="shared" si="3"/>
        <v>22145.42</v>
      </c>
      <c r="H22" s="25">
        <f t="shared" si="3"/>
        <v>13.51</v>
      </c>
      <c r="I22" s="25">
        <f t="shared" si="2"/>
        <v>120208.06999999999</v>
      </c>
    </row>
    <row r="23" spans="1:9" x14ac:dyDescent="0.45">
      <c r="A23" s="8" t="s">
        <v>20</v>
      </c>
      <c r="B23" s="24"/>
      <c r="C23" s="24"/>
      <c r="D23" s="24"/>
      <c r="E23" s="24"/>
      <c r="F23" s="24"/>
      <c r="G23" s="24"/>
      <c r="H23" s="24"/>
      <c r="I23" s="24"/>
    </row>
    <row r="24" spans="1:9" x14ac:dyDescent="0.45">
      <c r="A24" s="9" t="s">
        <v>21</v>
      </c>
      <c r="B24" s="24"/>
      <c r="C24" s="24"/>
      <c r="D24" s="24"/>
      <c r="E24" s="24"/>
      <c r="F24" s="24"/>
      <c r="G24" s="24"/>
      <c r="H24" s="24">
        <v>947.5</v>
      </c>
      <c r="I24" s="24">
        <f t="shared" ref="I24:I30" si="4">B24+C24+D24+E24+F24+G24+H24</f>
        <v>947.5</v>
      </c>
    </row>
    <row r="25" spans="1:9" x14ac:dyDescent="0.45">
      <c r="A25" s="9" t="s">
        <v>22</v>
      </c>
      <c r="B25" s="24">
        <v>1466.75</v>
      </c>
      <c r="C25" s="24">
        <v>180</v>
      </c>
      <c r="D25" s="24">
        <v>60</v>
      </c>
      <c r="E25" s="24">
        <v>80</v>
      </c>
      <c r="F25" s="24"/>
      <c r="G25" s="24"/>
      <c r="H25" s="24"/>
      <c r="I25" s="24">
        <f t="shared" si="4"/>
        <v>1786.75</v>
      </c>
    </row>
    <row r="26" spans="1:9" x14ac:dyDescent="0.45">
      <c r="A26" s="9" t="s">
        <v>23</v>
      </c>
      <c r="B26" s="24"/>
      <c r="C26" s="24">
        <v>118.29</v>
      </c>
      <c r="D26" s="24">
        <v>717.83</v>
      </c>
      <c r="E26" s="24">
        <v>280.83</v>
      </c>
      <c r="F26" s="24">
        <v>223.43</v>
      </c>
      <c r="G26" s="24">
        <v>487.68</v>
      </c>
      <c r="H26" s="24">
        <v>275.95999999999998</v>
      </c>
      <c r="I26" s="24">
        <f t="shared" si="4"/>
        <v>2104.02</v>
      </c>
    </row>
    <row r="27" spans="1:9" x14ac:dyDescent="0.45">
      <c r="A27" s="9" t="s">
        <v>24</v>
      </c>
      <c r="B27" s="24"/>
      <c r="C27" s="24"/>
      <c r="D27" s="24"/>
      <c r="E27" s="24">
        <v>150</v>
      </c>
      <c r="F27" s="24"/>
      <c r="G27" s="24">
        <v>150</v>
      </c>
      <c r="H27" s="24"/>
      <c r="I27" s="24">
        <f t="shared" si="4"/>
        <v>300</v>
      </c>
    </row>
    <row r="28" spans="1:9" x14ac:dyDescent="0.45">
      <c r="A28" s="9" t="s">
        <v>25</v>
      </c>
      <c r="B28" s="24"/>
      <c r="C28" s="24"/>
      <c r="D28" s="24">
        <v>200</v>
      </c>
      <c r="E28" s="24"/>
      <c r="F28" s="24"/>
      <c r="G28" s="24"/>
      <c r="H28" s="24"/>
      <c r="I28" s="24">
        <f t="shared" si="4"/>
        <v>200</v>
      </c>
    </row>
    <row r="29" spans="1:9" x14ac:dyDescent="0.45">
      <c r="A29" s="9" t="s">
        <v>26</v>
      </c>
      <c r="B29" s="24"/>
      <c r="C29" s="24"/>
      <c r="D29" s="24"/>
      <c r="E29" s="24"/>
      <c r="F29" s="24"/>
      <c r="G29" s="24"/>
      <c r="H29" s="24">
        <v>40.5</v>
      </c>
      <c r="I29" s="24">
        <f t="shared" si="4"/>
        <v>40.5</v>
      </c>
    </row>
    <row r="30" spans="1:9" x14ac:dyDescent="0.45">
      <c r="A30" s="10" t="s">
        <v>27</v>
      </c>
      <c r="B30" s="25">
        <f t="shared" ref="B30:H30" si="5">B23+B24+B25+B26+B27+B28+B29</f>
        <v>1466.75</v>
      </c>
      <c r="C30" s="25">
        <f t="shared" si="5"/>
        <v>298.29000000000002</v>
      </c>
      <c r="D30" s="25">
        <f t="shared" si="5"/>
        <v>977.83</v>
      </c>
      <c r="E30" s="25">
        <f t="shared" si="5"/>
        <v>510.83</v>
      </c>
      <c r="F30" s="25">
        <f t="shared" si="5"/>
        <v>223.43</v>
      </c>
      <c r="G30" s="25">
        <f t="shared" si="5"/>
        <v>637.68000000000006</v>
      </c>
      <c r="H30" s="25">
        <f t="shared" si="5"/>
        <v>1263.96</v>
      </c>
      <c r="I30" s="25">
        <f t="shared" si="4"/>
        <v>5378.7699999999995</v>
      </c>
    </row>
    <row r="31" spans="1:9" x14ac:dyDescent="0.45">
      <c r="A31" s="8" t="s">
        <v>28</v>
      </c>
      <c r="B31" s="24"/>
      <c r="C31" s="24"/>
      <c r="D31" s="24"/>
      <c r="E31" s="24"/>
      <c r="F31" s="24"/>
      <c r="G31" s="24"/>
      <c r="H31" s="24"/>
      <c r="I31" s="24"/>
    </row>
    <row r="32" spans="1:9" x14ac:dyDescent="0.45">
      <c r="A32" s="9" t="s">
        <v>29</v>
      </c>
      <c r="B32" s="24">
        <v>12125.75</v>
      </c>
      <c r="C32" s="24">
        <v>10066.540000000001</v>
      </c>
      <c r="D32" s="24">
        <v>4951.28</v>
      </c>
      <c r="E32" s="24">
        <v>4549.72</v>
      </c>
      <c r="F32" s="24">
        <v>4515.9399999999996</v>
      </c>
      <c r="G32" s="24">
        <v>4855.18</v>
      </c>
      <c r="H32" s="24">
        <v>4665.75</v>
      </c>
      <c r="I32" s="24">
        <f t="shared" ref="I32:I37" si="6">B32+C32+D32+E32+F32+G32+H32</f>
        <v>45730.16</v>
      </c>
    </row>
    <row r="33" spans="1:9" x14ac:dyDescent="0.45">
      <c r="A33" s="9" t="s">
        <v>30</v>
      </c>
      <c r="B33" s="24"/>
      <c r="C33" s="24"/>
      <c r="D33" s="24"/>
      <c r="E33" s="24">
        <v>61160</v>
      </c>
      <c r="F33" s="24"/>
      <c r="G33" s="24"/>
      <c r="H33" s="24"/>
      <c r="I33" s="24">
        <f t="shared" si="6"/>
        <v>61160</v>
      </c>
    </row>
    <row r="34" spans="1:9" x14ac:dyDescent="0.45">
      <c r="A34" s="9" t="s">
        <v>31</v>
      </c>
      <c r="B34" s="24">
        <v>-16924.63</v>
      </c>
      <c r="C34" s="24">
        <v>16924.63</v>
      </c>
      <c r="D34" s="24"/>
      <c r="E34" s="24"/>
      <c r="F34" s="24"/>
      <c r="G34" s="24"/>
      <c r="H34" s="24"/>
      <c r="I34" s="24">
        <f t="shared" si="6"/>
        <v>0</v>
      </c>
    </row>
    <row r="35" spans="1:9" x14ac:dyDescent="0.45">
      <c r="A35" s="9" t="s">
        <v>32</v>
      </c>
      <c r="B35" s="24"/>
      <c r="C35" s="24"/>
      <c r="D35" s="24"/>
      <c r="E35" s="24">
        <v>-14</v>
      </c>
      <c r="F35" s="24"/>
      <c r="G35" s="24"/>
      <c r="H35" s="24"/>
      <c r="I35" s="24">
        <f t="shared" si="6"/>
        <v>-14</v>
      </c>
    </row>
    <row r="36" spans="1:9" x14ac:dyDescent="0.45">
      <c r="A36" s="9" t="s">
        <v>33</v>
      </c>
      <c r="B36" s="24"/>
      <c r="C36" s="24">
        <v>50</v>
      </c>
      <c r="D36" s="24">
        <v>400</v>
      </c>
      <c r="E36" s="24">
        <v>150</v>
      </c>
      <c r="F36" s="24">
        <v>100</v>
      </c>
      <c r="G36" s="24">
        <v>125</v>
      </c>
      <c r="H36" s="24">
        <v>50</v>
      </c>
      <c r="I36" s="24">
        <f t="shared" si="6"/>
        <v>875</v>
      </c>
    </row>
    <row r="37" spans="1:9" x14ac:dyDescent="0.45">
      <c r="A37" s="10" t="s">
        <v>34</v>
      </c>
      <c r="B37" s="25">
        <f t="shared" ref="B37:H37" si="7">B31+B32+B33+B34+B35+B36</f>
        <v>-4798.880000000001</v>
      </c>
      <c r="C37" s="25">
        <f t="shared" si="7"/>
        <v>27041.170000000002</v>
      </c>
      <c r="D37" s="25">
        <f t="shared" si="7"/>
        <v>5351.28</v>
      </c>
      <c r="E37" s="25">
        <f t="shared" si="7"/>
        <v>65845.72</v>
      </c>
      <c r="F37" s="25">
        <f t="shared" si="7"/>
        <v>4615.9399999999996</v>
      </c>
      <c r="G37" s="25">
        <f t="shared" si="7"/>
        <v>4980.18</v>
      </c>
      <c r="H37" s="25">
        <f t="shared" si="7"/>
        <v>4715.75</v>
      </c>
      <c r="I37" s="25">
        <f t="shared" si="6"/>
        <v>107751.16</v>
      </c>
    </row>
    <row r="38" spans="1:9" x14ac:dyDescent="0.45">
      <c r="A38" s="8" t="s">
        <v>35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45">
      <c r="A39" s="9" t="s">
        <v>36</v>
      </c>
      <c r="B39" s="24"/>
      <c r="C39" s="24"/>
      <c r="D39" s="24"/>
      <c r="E39" s="24"/>
      <c r="F39" s="24"/>
      <c r="G39" s="24"/>
      <c r="H39" s="24">
        <v>10000</v>
      </c>
      <c r="I39" s="24">
        <f t="shared" ref="I39:I45" si="8">B39+C39+D39+E39+F39+G39+H39</f>
        <v>10000</v>
      </c>
    </row>
    <row r="40" spans="1:9" x14ac:dyDescent="0.45">
      <c r="A40" s="10" t="s">
        <v>37</v>
      </c>
      <c r="B40" s="25">
        <f t="shared" ref="B40:H40" si="9">B38+B39</f>
        <v>0</v>
      </c>
      <c r="C40" s="25">
        <f t="shared" si="9"/>
        <v>0</v>
      </c>
      <c r="D40" s="25">
        <f t="shared" si="9"/>
        <v>0</v>
      </c>
      <c r="E40" s="25">
        <f t="shared" si="9"/>
        <v>0</v>
      </c>
      <c r="F40" s="25">
        <f t="shared" si="9"/>
        <v>0</v>
      </c>
      <c r="G40" s="25">
        <f t="shared" si="9"/>
        <v>0</v>
      </c>
      <c r="H40" s="25">
        <f t="shared" si="9"/>
        <v>10000</v>
      </c>
      <c r="I40" s="25">
        <f t="shared" si="8"/>
        <v>10000</v>
      </c>
    </row>
    <row r="41" spans="1:9" x14ac:dyDescent="0.45">
      <c r="A41" s="8" t="s">
        <v>38</v>
      </c>
      <c r="B41" s="24">
        <v>4640.6499999999996</v>
      </c>
      <c r="C41" s="24">
        <v>85984.2</v>
      </c>
      <c r="D41" s="24">
        <v>3989.6</v>
      </c>
      <c r="E41" s="24">
        <v>9267.65</v>
      </c>
      <c r="F41" s="24">
        <v>2529.5</v>
      </c>
      <c r="G41" s="24">
        <v>13806</v>
      </c>
      <c r="H41" s="24"/>
      <c r="I41" s="24">
        <f t="shared" si="8"/>
        <v>120217.59999999999</v>
      </c>
    </row>
    <row r="42" spans="1:9" x14ac:dyDescent="0.45">
      <c r="A42" s="8" t="s">
        <v>39</v>
      </c>
      <c r="B42" s="24">
        <v>33066.33</v>
      </c>
      <c r="C42" s="24"/>
      <c r="D42" s="24"/>
      <c r="E42" s="24">
        <v>33057.72</v>
      </c>
      <c r="F42" s="24"/>
      <c r="G42" s="24"/>
      <c r="H42" s="24">
        <v>33057.72</v>
      </c>
      <c r="I42" s="24">
        <f t="shared" si="8"/>
        <v>99181.77</v>
      </c>
    </row>
    <row r="43" spans="1:9" x14ac:dyDescent="0.45">
      <c r="A43" s="8" t="s">
        <v>40</v>
      </c>
      <c r="B43" s="24">
        <v>705</v>
      </c>
      <c r="C43" s="24">
        <v>1120</v>
      </c>
      <c r="D43" s="24">
        <v>350</v>
      </c>
      <c r="E43" s="24">
        <v>1235</v>
      </c>
      <c r="F43" s="24">
        <v>1065</v>
      </c>
      <c r="G43" s="24">
        <v>1435</v>
      </c>
      <c r="H43" s="24">
        <v>2515</v>
      </c>
      <c r="I43" s="24">
        <f t="shared" si="8"/>
        <v>8425</v>
      </c>
    </row>
    <row r="44" spans="1:9" x14ac:dyDescent="0.45">
      <c r="A44" s="11" t="s">
        <v>41</v>
      </c>
      <c r="B44" s="25">
        <f t="shared" ref="B44:H44" si="10">B6+B13+B22+B30+B37+B40+B41+B42+B43</f>
        <v>2539929.87</v>
      </c>
      <c r="C44" s="25">
        <f t="shared" si="10"/>
        <v>-1775972.05</v>
      </c>
      <c r="D44" s="25">
        <f t="shared" si="10"/>
        <v>10668.71</v>
      </c>
      <c r="E44" s="25">
        <f t="shared" si="10"/>
        <v>126030.68</v>
      </c>
      <c r="F44" s="25">
        <f t="shared" si="10"/>
        <v>96779.73</v>
      </c>
      <c r="G44" s="25">
        <f t="shared" si="10"/>
        <v>43206.899999999994</v>
      </c>
      <c r="H44" s="25">
        <f t="shared" si="10"/>
        <v>51565.94</v>
      </c>
      <c r="I44" s="25">
        <f t="shared" si="8"/>
        <v>1092209.78</v>
      </c>
    </row>
    <row r="45" spans="1:9" x14ac:dyDescent="0.45">
      <c r="A45" s="11" t="s">
        <v>42</v>
      </c>
      <c r="B45" s="25">
        <f t="shared" ref="B45:H45" si="11">B44-0</f>
        <v>2539929.87</v>
      </c>
      <c r="C45" s="25">
        <f t="shared" si="11"/>
        <v>-1775972.05</v>
      </c>
      <c r="D45" s="25">
        <f t="shared" si="11"/>
        <v>10668.71</v>
      </c>
      <c r="E45" s="25">
        <f t="shared" si="11"/>
        <v>126030.68</v>
      </c>
      <c r="F45" s="25">
        <f t="shared" si="11"/>
        <v>96779.73</v>
      </c>
      <c r="G45" s="25">
        <f t="shared" si="11"/>
        <v>43206.899999999994</v>
      </c>
      <c r="H45" s="25">
        <f t="shared" si="11"/>
        <v>51565.94</v>
      </c>
      <c r="I45" s="25">
        <f t="shared" si="8"/>
        <v>1092209.78</v>
      </c>
    </row>
    <row r="46" spans="1:9" x14ac:dyDescent="0.45">
      <c r="A46" s="7" t="s">
        <v>43</v>
      </c>
      <c r="B46" s="24"/>
      <c r="C46" s="24"/>
      <c r="D46" s="24"/>
      <c r="E46" s="24"/>
      <c r="F46" s="24"/>
      <c r="G46" s="24"/>
      <c r="H46" s="24"/>
      <c r="I46" s="26"/>
    </row>
    <row r="47" spans="1:9" x14ac:dyDescent="0.45">
      <c r="A47" s="8" t="s">
        <v>44</v>
      </c>
      <c r="B47" s="24"/>
      <c r="C47" s="24"/>
      <c r="D47" s="24"/>
      <c r="E47" s="24"/>
      <c r="F47" s="24"/>
      <c r="G47" s="24"/>
      <c r="H47" s="24"/>
      <c r="I47" s="24"/>
    </row>
    <row r="48" spans="1:9" x14ac:dyDescent="0.45">
      <c r="A48" s="9" t="s">
        <v>45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45">
      <c r="A49" s="12" t="s">
        <v>46</v>
      </c>
      <c r="B49" s="24">
        <v>2482.7199999999998</v>
      </c>
      <c r="C49" s="24">
        <v>0</v>
      </c>
      <c r="D49" s="24"/>
      <c r="E49" s="24">
        <v>2482.7199999999998</v>
      </c>
      <c r="F49" s="24"/>
      <c r="G49" s="24"/>
      <c r="H49" s="24">
        <v>2482.7199999999998</v>
      </c>
      <c r="I49" s="24">
        <f>B49+C49+D49+E49+F49+G49+H49</f>
        <v>7448.16</v>
      </c>
    </row>
    <row r="50" spans="1:9" x14ac:dyDescent="0.45">
      <c r="A50" s="12" t="s">
        <v>47</v>
      </c>
      <c r="B50" s="24"/>
      <c r="C50" s="24"/>
      <c r="D50" s="24"/>
      <c r="E50" s="24"/>
      <c r="F50" s="24"/>
      <c r="G50" s="24"/>
      <c r="H50" s="24"/>
      <c r="I50" s="24"/>
    </row>
    <row r="51" spans="1:9" x14ac:dyDescent="0.45">
      <c r="A51" s="13" t="s">
        <v>48</v>
      </c>
      <c r="B51" s="24">
        <v>305.72000000000003</v>
      </c>
      <c r="C51" s="24">
        <v>284.29000000000002</v>
      </c>
      <c r="D51" s="24">
        <v>238.63</v>
      </c>
      <c r="E51" s="24">
        <v>337.01</v>
      </c>
      <c r="F51" s="24">
        <v>332.68</v>
      </c>
      <c r="G51" s="24">
        <v>196.78</v>
      </c>
      <c r="H51" s="24">
        <v>284.29000000000002</v>
      </c>
      <c r="I51" s="24">
        <f>B51+C51+D51+E51+F51+G51+H51</f>
        <v>1979.4</v>
      </c>
    </row>
    <row r="52" spans="1:9" x14ac:dyDescent="0.45">
      <c r="A52" s="14" t="s">
        <v>49</v>
      </c>
      <c r="B52" s="25">
        <f t="shared" ref="B52:H52" si="12">B50+B51</f>
        <v>305.72000000000003</v>
      </c>
      <c r="C52" s="25">
        <f t="shared" si="12"/>
        <v>284.29000000000002</v>
      </c>
      <c r="D52" s="25">
        <f t="shared" si="12"/>
        <v>238.63</v>
      </c>
      <c r="E52" s="25">
        <f t="shared" si="12"/>
        <v>337.01</v>
      </c>
      <c r="F52" s="25">
        <f t="shared" si="12"/>
        <v>332.68</v>
      </c>
      <c r="G52" s="25">
        <f t="shared" si="12"/>
        <v>196.78</v>
      </c>
      <c r="H52" s="25">
        <f t="shared" si="12"/>
        <v>284.29000000000002</v>
      </c>
      <c r="I52" s="25">
        <f>B52+C52+D52+E52+F52+G52+H52</f>
        <v>1979.4</v>
      </c>
    </row>
    <row r="53" spans="1:9" x14ac:dyDescent="0.45">
      <c r="A53" s="15" t="s">
        <v>50</v>
      </c>
      <c r="B53" s="25">
        <f t="shared" ref="B53:H53" si="13">B48+B49+B52</f>
        <v>2788.4399999999996</v>
      </c>
      <c r="C53" s="25">
        <f t="shared" si="13"/>
        <v>284.29000000000002</v>
      </c>
      <c r="D53" s="25">
        <f t="shared" si="13"/>
        <v>238.63</v>
      </c>
      <c r="E53" s="25">
        <f t="shared" si="13"/>
        <v>2819.7299999999996</v>
      </c>
      <c r="F53" s="25">
        <f t="shared" si="13"/>
        <v>332.68</v>
      </c>
      <c r="G53" s="25">
        <f t="shared" si="13"/>
        <v>196.78</v>
      </c>
      <c r="H53" s="25">
        <f t="shared" si="13"/>
        <v>2767.0099999999998</v>
      </c>
      <c r="I53" s="25">
        <f>B53+C53+D53+E53+F53+G53+H53</f>
        <v>9427.56</v>
      </c>
    </row>
    <row r="54" spans="1:9" x14ac:dyDescent="0.45">
      <c r="A54" s="9" t="s">
        <v>51</v>
      </c>
      <c r="B54" s="24"/>
      <c r="C54" s="24">
        <v>1219.5</v>
      </c>
      <c r="D54" s="24">
        <v>594</v>
      </c>
      <c r="E54" s="24"/>
      <c r="F54" s="24">
        <v>5373</v>
      </c>
      <c r="G54" s="24">
        <v>93</v>
      </c>
      <c r="H54" s="24">
        <v>906.39</v>
      </c>
      <c r="I54" s="24">
        <f>B54+C54+D54+E54+F54+G54+H54</f>
        <v>8185.89</v>
      </c>
    </row>
    <row r="55" spans="1:9" x14ac:dyDescent="0.45">
      <c r="A55" s="9" t="s">
        <v>52</v>
      </c>
      <c r="B55" s="24"/>
      <c r="C55" s="24"/>
      <c r="D55" s="24"/>
      <c r="E55" s="24"/>
      <c r="F55" s="24"/>
      <c r="G55" s="24"/>
      <c r="H55" s="24"/>
      <c r="I55" s="24"/>
    </row>
    <row r="56" spans="1:9" x14ac:dyDescent="0.45">
      <c r="A56" s="12" t="s">
        <v>53</v>
      </c>
      <c r="B56" s="24">
        <v>2242.71</v>
      </c>
      <c r="C56" s="24">
        <v>2242.71</v>
      </c>
      <c r="D56" s="24">
        <v>2242.71</v>
      </c>
      <c r="E56" s="24">
        <v>2242.71</v>
      </c>
      <c r="F56" s="24">
        <v>2242.71</v>
      </c>
      <c r="G56" s="24">
        <v>1573.96</v>
      </c>
      <c r="H56" s="24">
        <v>2911.46</v>
      </c>
      <c r="I56" s="24">
        <f>B56+C56+D56+E56+F56+G56+H56</f>
        <v>15698.969999999998</v>
      </c>
    </row>
    <row r="57" spans="1:9" x14ac:dyDescent="0.45">
      <c r="A57" s="13" t="s">
        <v>54</v>
      </c>
      <c r="B57" s="24">
        <v>144.79</v>
      </c>
      <c r="C57" s="24"/>
      <c r="D57" s="24"/>
      <c r="E57" s="24"/>
      <c r="F57" s="24"/>
      <c r="G57" s="24"/>
      <c r="H57" s="24"/>
      <c r="I57" s="24">
        <f>B57+C57+D57+E57+F57+G57+H57</f>
        <v>144.79</v>
      </c>
    </row>
    <row r="58" spans="1:9" x14ac:dyDescent="0.45">
      <c r="A58" s="13" t="s">
        <v>55</v>
      </c>
      <c r="B58" s="24">
        <v>150</v>
      </c>
      <c r="C58" s="24">
        <v>150</v>
      </c>
      <c r="D58" s="24">
        <v>-150</v>
      </c>
      <c r="E58" s="24">
        <v>150</v>
      </c>
      <c r="F58" s="24">
        <v>450</v>
      </c>
      <c r="G58" s="24">
        <v>150</v>
      </c>
      <c r="H58" s="24">
        <v>-150</v>
      </c>
      <c r="I58" s="24">
        <f>B58+C58+D58+E58+F58+G58+H58</f>
        <v>750</v>
      </c>
    </row>
    <row r="59" spans="1:9" x14ac:dyDescent="0.45">
      <c r="A59" s="13" t="s">
        <v>56</v>
      </c>
      <c r="B59" s="24">
        <v>616.88</v>
      </c>
      <c r="C59" s="24">
        <v>826.34</v>
      </c>
      <c r="D59" s="24">
        <v>796.88</v>
      </c>
      <c r="E59" s="24">
        <v>433.33</v>
      </c>
      <c r="F59" s="24">
        <v>737.35</v>
      </c>
      <c r="G59" s="24">
        <v>206.72</v>
      </c>
      <c r="H59" s="24">
        <v>511.4</v>
      </c>
      <c r="I59" s="24">
        <f>B59+C59+D59+E59+F59+G59+H59</f>
        <v>4128.8999999999996</v>
      </c>
    </row>
    <row r="60" spans="1:9" x14ac:dyDescent="0.45">
      <c r="A60" s="14" t="s">
        <v>57</v>
      </c>
      <c r="B60" s="25">
        <f t="shared" ref="B60:H60" si="14">B56+B57+B58+B59</f>
        <v>3154.38</v>
      </c>
      <c r="C60" s="25">
        <f t="shared" si="14"/>
        <v>3219.05</v>
      </c>
      <c r="D60" s="25">
        <f t="shared" si="14"/>
        <v>2889.59</v>
      </c>
      <c r="E60" s="25">
        <f t="shared" si="14"/>
        <v>2826.04</v>
      </c>
      <c r="F60" s="25">
        <f t="shared" si="14"/>
        <v>3430.06</v>
      </c>
      <c r="G60" s="25">
        <f t="shared" si="14"/>
        <v>1930.68</v>
      </c>
      <c r="H60" s="25">
        <f t="shared" si="14"/>
        <v>3272.86</v>
      </c>
      <c r="I60" s="25">
        <f>B60+C60+D60+E60+F60+G60+H60</f>
        <v>20722.66</v>
      </c>
    </row>
    <row r="61" spans="1:9" x14ac:dyDescent="0.45">
      <c r="A61" s="12" t="s">
        <v>58</v>
      </c>
      <c r="B61" s="24"/>
      <c r="C61" s="24"/>
      <c r="D61" s="24"/>
      <c r="E61" s="24"/>
      <c r="F61" s="24"/>
      <c r="G61" s="24"/>
      <c r="H61" s="24"/>
      <c r="I61" s="24"/>
    </row>
    <row r="62" spans="1:9" x14ac:dyDescent="0.45">
      <c r="A62" s="13" t="s">
        <v>59</v>
      </c>
      <c r="B62" s="24"/>
      <c r="C62" s="24"/>
      <c r="D62" s="24"/>
      <c r="E62" s="24">
        <v>3172.48</v>
      </c>
      <c r="F62" s="24"/>
      <c r="G62" s="24"/>
      <c r="H62" s="24"/>
      <c r="I62" s="24">
        <f>B62+C62+D62+E62+F62+G62+H62</f>
        <v>3172.48</v>
      </c>
    </row>
    <row r="63" spans="1:9" x14ac:dyDescent="0.45">
      <c r="A63" s="13" t="s">
        <v>60</v>
      </c>
      <c r="B63" s="24">
        <v>59.8</v>
      </c>
      <c r="C63" s="24"/>
      <c r="D63" s="24"/>
      <c r="E63" s="24"/>
      <c r="F63" s="24"/>
      <c r="G63" s="24"/>
      <c r="H63" s="24"/>
      <c r="I63" s="24">
        <f>B63+C63+D63+E63+F63+G63+H63</f>
        <v>59.8</v>
      </c>
    </row>
    <row r="64" spans="1:9" x14ac:dyDescent="0.45">
      <c r="A64" s="13" t="s">
        <v>61</v>
      </c>
      <c r="B64" s="24">
        <v>78</v>
      </c>
      <c r="C64" s="24"/>
      <c r="D64" s="24">
        <v>658.69</v>
      </c>
      <c r="E64" s="24">
        <v>85</v>
      </c>
      <c r="F64" s="24">
        <v>179.75</v>
      </c>
      <c r="G64" s="24"/>
      <c r="H64" s="24">
        <v>481.56</v>
      </c>
      <c r="I64" s="24">
        <f>B64+C64+D64+E64+F64+G64+H64</f>
        <v>1483</v>
      </c>
    </row>
    <row r="65" spans="1:9" x14ac:dyDescent="0.45">
      <c r="A65" s="14" t="s">
        <v>62</v>
      </c>
      <c r="B65" s="25">
        <f t="shared" ref="B65:H65" si="15">B61+B62+B63+B64</f>
        <v>137.80000000000001</v>
      </c>
      <c r="C65" s="25">
        <f t="shared" si="15"/>
        <v>0</v>
      </c>
      <c r="D65" s="25">
        <f t="shared" si="15"/>
        <v>658.69</v>
      </c>
      <c r="E65" s="25">
        <f t="shared" si="15"/>
        <v>3257.48</v>
      </c>
      <c r="F65" s="25">
        <f t="shared" si="15"/>
        <v>179.75</v>
      </c>
      <c r="G65" s="25">
        <f t="shared" si="15"/>
        <v>0</v>
      </c>
      <c r="H65" s="25">
        <f t="shared" si="15"/>
        <v>481.56</v>
      </c>
      <c r="I65" s="25">
        <f>B65+C65+D65+E65+F65+G65+H65</f>
        <v>4715.2800000000007</v>
      </c>
    </row>
    <row r="66" spans="1:9" x14ac:dyDescent="0.45">
      <c r="A66" s="12" t="s">
        <v>63</v>
      </c>
      <c r="B66" s="24"/>
      <c r="C66" s="24"/>
      <c r="D66" s="24"/>
      <c r="E66" s="24"/>
      <c r="F66" s="24"/>
      <c r="G66" s="24"/>
      <c r="H66" s="24"/>
      <c r="I66" s="24"/>
    </row>
    <row r="67" spans="1:9" x14ac:dyDescent="0.45">
      <c r="A67" s="13" t="s">
        <v>64</v>
      </c>
      <c r="B67" s="24">
        <v>0</v>
      </c>
      <c r="C67" s="24">
        <v>101</v>
      </c>
      <c r="D67" s="24"/>
      <c r="E67" s="24"/>
      <c r="F67" s="24"/>
      <c r="G67" s="24"/>
      <c r="H67" s="24">
        <v>110</v>
      </c>
      <c r="I67" s="24">
        <f t="shared" ref="I67:I78" si="16">B67+C67+D67+E67+F67+G67+H67</f>
        <v>211</v>
      </c>
    </row>
    <row r="68" spans="1:9" x14ac:dyDescent="0.45">
      <c r="A68" s="13" t="s">
        <v>65</v>
      </c>
      <c r="B68" s="24">
        <v>89</v>
      </c>
      <c r="C68" s="24">
        <v>89</v>
      </c>
      <c r="D68" s="24">
        <v>89</v>
      </c>
      <c r="E68" s="24">
        <v>89</v>
      </c>
      <c r="F68" s="24">
        <v>89</v>
      </c>
      <c r="G68" s="24"/>
      <c r="H68" s="24">
        <v>178</v>
      </c>
      <c r="I68" s="24">
        <f t="shared" si="16"/>
        <v>623</v>
      </c>
    </row>
    <row r="69" spans="1:9" x14ac:dyDescent="0.45">
      <c r="A69" s="13" t="s">
        <v>66</v>
      </c>
      <c r="B69" s="24">
        <v>214.25</v>
      </c>
      <c r="C69" s="24">
        <v>517.25</v>
      </c>
      <c r="D69" s="24">
        <v>264.24</v>
      </c>
      <c r="E69" s="24">
        <v>264.24</v>
      </c>
      <c r="F69" s="24">
        <v>264.24</v>
      </c>
      <c r="G69" s="24">
        <v>49.99</v>
      </c>
      <c r="H69" s="24">
        <v>581.99</v>
      </c>
      <c r="I69" s="24">
        <f t="shared" si="16"/>
        <v>2156.1999999999998</v>
      </c>
    </row>
    <row r="70" spans="1:9" x14ac:dyDescent="0.45">
      <c r="A70" s="13" t="s">
        <v>67</v>
      </c>
      <c r="B70" s="24"/>
      <c r="C70" s="24">
        <v>123.46</v>
      </c>
      <c r="D70" s="24">
        <v>0</v>
      </c>
      <c r="E70" s="24"/>
      <c r="F70" s="24"/>
      <c r="G70" s="24">
        <v>972.38</v>
      </c>
      <c r="H70" s="24"/>
      <c r="I70" s="24">
        <f t="shared" si="16"/>
        <v>1095.8399999999999</v>
      </c>
    </row>
    <row r="71" spans="1:9" x14ac:dyDescent="0.45">
      <c r="A71" s="13" t="s">
        <v>68</v>
      </c>
      <c r="B71" s="24">
        <v>162.74</v>
      </c>
      <c r="C71" s="24">
        <v>115</v>
      </c>
      <c r="D71" s="24">
        <v>140.38</v>
      </c>
      <c r="E71" s="24">
        <v>409.03</v>
      </c>
      <c r="F71" s="24">
        <v>422.48</v>
      </c>
      <c r="G71" s="24">
        <v>1210.8599999999999</v>
      </c>
      <c r="H71" s="24">
        <v>199.43</v>
      </c>
      <c r="I71" s="24">
        <f t="shared" si="16"/>
        <v>2659.9199999999996</v>
      </c>
    </row>
    <row r="72" spans="1:9" x14ac:dyDescent="0.45">
      <c r="A72" s="13" t="s">
        <v>69</v>
      </c>
      <c r="B72" s="24">
        <v>36.479999999999997</v>
      </c>
      <c r="C72" s="24">
        <v>78</v>
      </c>
      <c r="D72" s="24"/>
      <c r="E72" s="24">
        <v>138.68</v>
      </c>
      <c r="F72" s="24"/>
      <c r="G72" s="24"/>
      <c r="H72" s="24">
        <v>22.21</v>
      </c>
      <c r="I72" s="24">
        <f t="shared" si="16"/>
        <v>275.37</v>
      </c>
    </row>
    <row r="73" spans="1:9" x14ac:dyDescent="0.45">
      <c r="A73" s="13" t="s">
        <v>70</v>
      </c>
      <c r="B73" s="24">
        <v>219.05</v>
      </c>
      <c r="C73" s="24"/>
      <c r="D73" s="24"/>
      <c r="E73" s="24"/>
      <c r="F73" s="24"/>
      <c r="G73" s="24"/>
      <c r="H73" s="24"/>
      <c r="I73" s="24">
        <f t="shared" si="16"/>
        <v>219.05</v>
      </c>
    </row>
    <row r="74" spans="1:9" x14ac:dyDescent="0.45">
      <c r="A74" s="13" t="s">
        <v>71</v>
      </c>
      <c r="B74" s="24">
        <v>112.38</v>
      </c>
      <c r="C74" s="24">
        <v>109.35</v>
      </c>
      <c r="D74" s="24">
        <v>104.92</v>
      </c>
      <c r="E74" s="24">
        <v>109.1</v>
      </c>
      <c r="F74" s="24">
        <v>107.95</v>
      </c>
      <c r="G74" s="24"/>
      <c r="H74" s="24">
        <v>210.92</v>
      </c>
      <c r="I74" s="24">
        <f t="shared" si="16"/>
        <v>754.62</v>
      </c>
    </row>
    <row r="75" spans="1:9" x14ac:dyDescent="0.45">
      <c r="A75" s="13" t="s">
        <v>72</v>
      </c>
      <c r="B75" s="24"/>
      <c r="C75" s="24"/>
      <c r="D75" s="24">
        <v>2404.8000000000002</v>
      </c>
      <c r="E75" s="24"/>
      <c r="F75" s="24">
        <v>1742.75</v>
      </c>
      <c r="G75" s="24"/>
      <c r="H75" s="24"/>
      <c r="I75" s="24">
        <f t="shared" si="16"/>
        <v>4147.55</v>
      </c>
    </row>
    <row r="76" spans="1:9" x14ac:dyDescent="0.45">
      <c r="A76" s="13" t="s">
        <v>73</v>
      </c>
      <c r="B76" s="24">
        <v>79.95</v>
      </c>
      <c r="C76" s="24">
        <v>79.95</v>
      </c>
      <c r="D76" s="24">
        <v>79.95</v>
      </c>
      <c r="E76" s="24">
        <v>79.95</v>
      </c>
      <c r="F76" s="24">
        <v>79.95</v>
      </c>
      <c r="G76" s="24">
        <v>79.95</v>
      </c>
      <c r="H76" s="24">
        <v>79.95</v>
      </c>
      <c r="I76" s="24">
        <f t="shared" si="16"/>
        <v>559.65</v>
      </c>
    </row>
    <row r="77" spans="1:9" x14ac:dyDescent="0.45">
      <c r="A77" s="14" t="s">
        <v>74</v>
      </c>
      <c r="B77" s="25">
        <f t="shared" ref="B77:H77" si="17">B66+B67+B68+B69+B70+B71+B72+B73+B74+B75+B76</f>
        <v>913.85</v>
      </c>
      <c r="C77" s="25">
        <f t="shared" si="17"/>
        <v>1213.01</v>
      </c>
      <c r="D77" s="25">
        <f t="shared" si="17"/>
        <v>3083.29</v>
      </c>
      <c r="E77" s="25">
        <f t="shared" si="17"/>
        <v>1090</v>
      </c>
      <c r="F77" s="25">
        <f t="shared" si="17"/>
        <v>2706.37</v>
      </c>
      <c r="G77" s="25">
        <f t="shared" si="17"/>
        <v>2313.1799999999998</v>
      </c>
      <c r="H77" s="25">
        <f t="shared" si="17"/>
        <v>1382.5000000000002</v>
      </c>
      <c r="I77" s="25">
        <f t="shared" si="16"/>
        <v>12702.2</v>
      </c>
    </row>
    <row r="78" spans="1:9" x14ac:dyDescent="0.45">
      <c r="A78" s="15" t="s">
        <v>75</v>
      </c>
      <c r="B78" s="25">
        <f t="shared" ref="B78:H78" si="18">B55+B60+B65+B77</f>
        <v>4206.0300000000007</v>
      </c>
      <c r="C78" s="25">
        <f t="shared" si="18"/>
        <v>4432.0600000000004</v>
      </c>
      <c r="D78" s="25">
        <f t="shared" si="18"/>
        <v>6631.57</v>
      </c>
      <c r="E78" s="25">
        <f t="shared" si="18"/>
        <v>7173.52</v>
      </c>
      <c r="F78" s="25">
        <f t="shared" si="18"/>
        <v>6316.18</v>
      </c>
      <c r="G78" s="25">
        <f t="shared" si="18"/>
        <v>4243.8599999999997</v>
      </c>
      <c r="H78" s="25">
        <f t="shared" si="18"/>
        <v>5136.92</v>
      </c>
      <c r="I78" s="25">
        <f t="shared" si="16"/>
        <v>38140.14</v>
      </c>
    </row>
    <row r="79" spans="1:9" x14ac:dyDescent="0.45">
      <c r="A79" s="9" t="s">
        <v>76</v>
      </c>
      <c r="B79" s="24"/>
      <c r="C79" s="24"/>
      <c r="D79" s="24"/>
      <c r="E79" s="24"/>
      <c r="F79" s="24"/>
      <c r="G79" s="24"/>
      <c r="H79" s="24"/>
      <c r="I79" s="24"/>
    </row>
    <row r="80" spans="1:9" x14ac:dyDescent="0.45">
      <c r="A80" s="12" t="s">
        <v>77</v>
      </c>
      <c r="B80" s="24">
        <v>3321</v>
      </c>
      <c r="C80" s="24">
        <v>0</v>
      </c>
      <c r="D80" s="24"/>
      <c r="E80" s="24">
        <v>3231.79</v>
      </c>
      <c r="F80" s="24"/>
      <c r="G80" s="24"/>
      <c r="H80" s="24">
        <v>5651.62</v>
      </c>
      <c r="I80" s="24">
        <f>B80+C80+D80+E80+F80+G80+H80</f>
        <v>12204.41</v>
      </c>
    </row>
    <row r="81" spans="1:9" x14ac:dyDescent="0.45">
      <c r="A81" s="15" t="s">
        <v>78</v>
      </c>
      <c r="B81" s="25">
        <f t="shared" ref="B81:H81" si="19">B79+B80</f>
        <v>3321</v>
      </c>
      <c r="C81" s="25">
        <f t="shared" si="19"/>
        <v>0</v>
      </c>
      <c r="D81" s="25">
        <f t="shared" si="19"/>
        <v>0</v>
      </c>
      <c r="E81" s="25">
        <f t="shared" si="19"/>
        <v>3231.79</v>
      </c>
      <c r="F81" s="25">
        <f t="shared" si="19"/>
        <v>0</v>
      </c>
      <c r="G81" s="25">
        <f t="shared" si="19"/>
        <v>0</v>
      </c>
      <c r="H81" s="25">
        <f t="shared" si="19"/>
        <v>5651.62</v>
      </c>
      <c r="I81" s="25">
        <f>B81+C81+D81+E81+F81+G81+H81</f>
        <v>12204.41</v>
      </c>
    </row>
    <row r="82" spans="1:9" x14ac:dyDescent="0.45">
      <c r="A82" s="9" t="s">
        <v>79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45">
      <c r="A83" s="12" t="s">
        <v>80</v>
      </c>
      <c r="B83" s="24"/>
      <c r="C83" s="24">
        <v>200</v>
      </c>
      <c r="D83" s="24"/>
      <c r="E83" s="24"/>
      <c r="F83" s="24"/>
      <c r="G83" s="24"/>
      <c r="H83" s="24"/>
      <c r="I83" s="24">
        <f>B83+C83+D83+E83+F83+G83+H83</f>
        <v>200</v>
      </c>
    </row>
    <row r="84" spans="1:9" x14ac:dyDescent="0.45">
      <c r="A84" s="12" t="s">
        <v>81</v>
      </c>
      <c r="B84" s="24"/>
      <c r="C84" s="24"/>
      <c r="D84" s="24"/>
      <c r="E84" s="24"/>
      <c r="F84" s="24">
        <v>18057</v>
      </c>
      <c r="G84" s="24">
        <v>1088</v>
      </c>
      <c r="H84" s="24"/>
      <c r="I84" s="24">
        <f>B84+C84+D84+E84+F84+G84+H84</f>
        <v>19145</v>
      </c>
    </row>
    <row r="85" spans="1:9" x14ac:dyDescent="0.45">
      <c r="A85" s="12" t="s">
        <v>82</v>
      </c>
      <c r="B85" s="24"/>
      <c r="C85" s="24"/>
      <c r="D85" s="24">
        <v>-579</v>
      </c>
      <c r="E85" s="24"/>
      <c r="F85" s="24"/>
      <c r="G85" s="24"/>
      <c r="H85" s="24">
        <v>2421</v>
      </c>
      <c r="I85" s="24">
        <f>B85+C85+D85+E85+F85+G85+H85</f>
        <v>1842</v>
      </c>
    </row>
    <row r="86" spans="1:9" x14ac:dyDescent="0.45">
      <c r="A86" s="15" t="s">
        <v>83</v>
      </c>
      <c r="B86" s="25">
        <f t="shared" ref="B86:H86" si="20">B82+B83+B84+B85</f>
        <v>0</v>
      </c>
      <c r="C86" s="25">
        <f t="shared" si="20"/>
        <v>200</v>
      </c>
      <c r="D86" s="25">
        <f t="shared" si="20"/>
        <v>-579</v>
      </c>
      <c r="E86" s="25">
        <f t="shared" si="20"/>
        <v>0</v>
      </c>
      <c r="F86" s="25">
        <f t="shared" si="20"/>
        <v>18057</v>
      </c>
      <c r="G86" s="25">
        <f t="shared" si="20"/>
        <v>1088</v>
      </c>
      <c r="H86" s="25">
        <f t="shared" si="20"/>
        <v>2421</v>
      </c>
      <c r="I86" s="25">
        <f>B86+C86+D86+E86+F86+G86+H86</f>
        <v>21187</v>
      </c>
    </row>
    <row r="87" spans="1:9" x14ac:dyDescent="0.45">
      <c r="A87" s="10" t="s">
        <v>84</v>
      </c>
      <c r="B87" s="25">
        <f t="shared" ref="B87:H87" si="21">B47+B53+B54+B78+B81+B86</f>
        <v>10315.470000000001</v>
      </c>
      <c r="C87" s="25">
        <f t="shared" si="21"/>
        <v>6135.85</v>
      </c>
      <c r="D87" s="25">
        <f t="shared" si="21"/>
        <v>6885.2</v>
      </c>
      <c r="E87" s="25">
        <f t="shared" si="21"/>
        <v>13225.04</v>
      </c>
      <c r="F87" s="25">
        <f t="shared" si="21"/>
        <v>30078.86</v>
      </c>
      <c r="G87" s="25">
        <f t="shared" si="21"/>
        <v>5621.6399999999994</v>
      </c>
      <c r="H87" s="25">
        <f t="shared" si="21"/>
        <v>16882.939999999999</v>
      </c>
      <c r="I87" s="25">
        <f>B87+C87+D87+E87+F87+G87+H87</f>
        <v>89145</v>
      </c>
    </row>
    <row r="88" spans="1:9" x14ac:dyDescent="0.45">
      <c r="A88" s="8" t="s">
        <v>85</v>
      </c>
      <c r="B88" s="24"/>
      <c r="C88" s="24"/>
      <c r="D88" s="24"/>
      <c r="E88" s="24"/>
      <c r="F88" s="24"/>
      <c r="G88" s="24"/>
      <c r="H88" s="24"/>
      <c r="I88" s="24"/>
    </row>
    <row r="89" spans="1:9" x14ac:dyDescent="0.45">
      <c r="A89" s="9" t="s">
        <v>86</v>
      </c>
      <c r="B89" s="24"/>
      <c r="C89" s="24"/>
      <c r="D89" s="24"/>
      <c r="E89" s="24"/>
      <c r="F89" s="24"/>
      <c r="G89" s="24"/>
      <c r="H89" s="24"/>
      <c r="I89" s="24"/>
    </row>
    <row r="90" spans="1:9" x14ac:dyDescent="0.45">
      <c r="A90" s="12" t="s">
        <v>87</v>
      </c>
      <c r="B90" s="24"/>
      <c r="C90" s="24">
        <v>31955.17</v>
      </c>
      <c r="D90" s="24"/>
      <c r="E90" s="24"/>
      <c r="F90" s="24"/>
      <c r="G90" s="24"/>
      <c r="H90" s="24"/>
      <c r="I90" s="24">
        <f>B90+C90+D90+E90+F90+G90+H90</f>
        <v>31955.17</v>
      </c>
    </row>
    <row r="91" spans="1:9" x14ac:dyDescent="0.45">
      <c r="A91" s="12" t="s">
        <v>88</v>
      </c>
      <c r="B91" s="24"/>
      <c r="C91" s="24"/>
      <c r="D91" s="24"/>
      <c r="E91" s="24"/>
      <c r="F91" s="24">
        <v>235.25</v>
      </c>
      <c r="G91" s="24"/>
      <c r="H91" s="24">
        <v>432</v>
      </c>
      <c r="I91" s="24">
        <f>B91+C91+D91+E91+F91+G91+H91</f>
        <v>667.25</v>
      </c>
    </row>
    <row r="92" spans="1:9" x14ac:dyDescent="0.45">
      <c r="A92" s="12" t="s">
        <v>89</v>
      </c>
      <c r="B92" s="24">
        <v>26101.4</v>
      </c>
      <c r="C92" s="24"/>
      <c r="D92" s="24"/>
      <c r="E92" s="24"/>
      <c r="F92" s="24"/>
      <c r="G92" s="24"/>
      <c r="H92" s="24"/>
      <c r="I92" s="24">
        <f>B92+C92+D92+E92+F92+G92+H92</f>
        <v>26101.4</v>
      </c>
    </row>
    <row r="93" spans="1:9" x14ac:dyDescent="0.45">
      <c r="A93" s="15" t="s">
        <v>90</v>
      </c>
      <c r="B93" s="25">
        <f t="shared" ref="B93:H93" si="22">B89+B90+B91+B92</f>
        <v>26101.4</v>
      </c>
      <c r="C93" s="25">
        <f t="shared" si="22"/>
        <v>31955.17</v>
      </c>
      <c r="D93" s="25">
        <f t="shared" si="22"/>
        <v>0</v>
      </c>
      <c r="E93" s="25">
        <f t="shared" si="22"/>
        <v>0</v>
      </c>
      <c r="F93" s="25">
        <f t="shared" si="22"/>
        <v>235.25</v>
      </c>
      <c r="G93" s="25">
        <f t="shared" si="22"/>
        <v>0</v>
      </c>
      <c r="H93" s="25">
        <f t="shared" si="22"/>
        <v>432</v>
      </c>
      <c r="I93" s="25">
        <f>B93+C93+D93+E93+F93+G93+H93</f>
        <v>58723.82</v>
      </c>
    </row>
    <row r="94" spans="1:9" x14ac:dyDescent="0.45">
      <c r="A94" s="9" t="s">
        <v>91</v>
      </c>
      <c r="B94" s="24"/>
      <c r="C94" s="24"/>
      <c r="D94" s="24"/>
      <c r="E94" s="24"/>
      <c r="F94" s="24"/>
      <c r="G94" s="24"/>
      <c r="H94" s="24"/>
      <c r="I94" s="24"/>
    </row>
    <row r="95" spans="1:9" x14ac:dyDescent="0.45">
      <c r="A95" s="12" t="s">
        <v>92</v>
      </c>
      <c r="B95" s="24"/>
      <c r="C95" s="24">
        <v>44273.27</v>
      </c>
      <c r="D95" s="24"/>
      <c r="E95" s="24"/>
      <c r="F95" s="24"/>
      <c r="G95" s="24">
        <v>31955.17</v>
      </c>
      <c r="H95" s="24"/>
      <c r="I95" s="24">
        <f t="shared" ref="I95:I100" si="23">B95+C95+D95+E95+F95+G95+H95</f>
        <v>76228.44</v>
      </c>
    </row>
    <row r="96" spans="1:9" x14ac:dyDescent="0.45">
      <c r="A96" s="12" t="s">
        <v>93</v>
      </c>
      <c r="B96" s="24">
        <v>13784.6</v>
      </c>
      <c r="C96" s="24"/>
      <c r="D96" s="24"/>
      <c r="E96" s="24"/>
      <c r="F96" s="24"/>
      <c r="G96" s="24"/>
      <c r="H96" s="24"/>
      <c r="I96" s="24">
        <f t="shared" si="23"/>
        <v>13784.6</v>
      </c>
    </row>
    <row r="97" spans="1:9" x14ac:dyDescent="0.45">
      <c r="A97" s="15" t="s">
        <v>94</v>
      </c>
      <c r="B97" s="25">
        <f t="shared" ref="B97:H97" si="24">B94+B95+B96</f>
        <v>13784.6</v>
      </c>
      <c r="C97" s="25">
        <f t="shared" si="24"/>
        <v>44273.27</v>
      </c>
      <c r="D97" s="25">
        <f t="shared" si="24"/>
        <v>0</v>
      </c>
      <c r="E97" s="25">
        <f t="shared" si="24"/>
        <v>0</v>
      </c>
      <c r="F97" s="25">
        <f t="shared" si="24"/>
        <v>0</v>
      </c>
      <c r="G97" s="25">
        <f t="shared" si="24"/>
        <v>31955.17</v>
      </c>
      <c r="H97" s="25">
        <f t="shared" si="24"/>
        <v>0</v>
      </c>
      <c r="I97" s="25">
        <f t="shared" si="23"/>
        <v>90013.04</v>
      </c>
    </row>
    <row r="98" spans="1:9" x14ac:dyDescent="0.45">
      <c r="A98" s="9" t="s">
        <v>95</v>
      </c>
      <c r="B98" s="24"/>
      <c r="C98" s="24"/>
      <c r="D98" s="24">
        <v>742</v>
      </c>
      <c r="E98" s="24"/>
      <c r="F98" s="24"/>
      <c r="G98" s="24"/>
      <c r="H98" s="24"/>
      <c r="I98" s="24">
        <f t="shared" si="23"/>
        <v>742</v>
      </c>
    </row>
    <row r="99" spans="1:9" x14ac:dyDescent="0.45">
      <c r="A99" s="9" t="s">
        <v>96</v>
      </c>
      <c r="B99" s="24">
        <v>173.58</v>
      </c>
      <c r="C99" s="24">
        <v>174.2</v>
      </c>
      <c r="D99" s="24">
        <v>174.1</v>
      </c>
      <c r="E99" s="24">
        <v>297.29000000000002</v>
      </c>
      <c r="F99" s="24">
        <v>174.22</v>
      </c>
      <c r="G99" s="24">
        <v>11.72</v>
      </c>
      <c r="H99" s="24">
        <v>349.95</v>
      </c>
      <c r="I99" s="24">
        <f t="shared" si="23"/>
        <v>1355.0600000000002</v>
      </c>
    </row>
    <row r="100" spans="1:9" x14ac:dyDescent="0.45">
      <c r="A100" s="10" t="s">
        <v>97</v>
      </c>
      <c r="B100" s="25">
        <f t="shared" ref="B100:H100" si="25">B88+B93+B97+B98+B99</f>
        <v>40059.58</v>
      </c>
      <c r="C100" s="25">
        <f t="shared" si="25"/>
        <v>76402.64</v>
      </c>
      <c r="D100" s="25">
        <f t="shared" si="25"/>
        <v>916.1</v>
      </c>
      <c r="E100" s="25">
        <f t="shared" si="25"/>
        <v>297.29000000000002</v>
      </c>
      <c r="F100" s="25">
        <f t="shared" si="25"/>
        <v>409.47</v>
      </c>
      <c r="G100" s="25">
        <f t="shared" si="25"/>
        <v>31966.89</v>
      </c>
      <c r="H100" s="25">
        <f t="shared" si="25"/>
        <v>781.95</v>
      </c>
      <c r="I100" s="25">
        <f t="shared" si="23"/>
        <v>150833.92000000001</v>
      </c>
    </row>
    <row r="101" spans="1:9" x14ac:dyDescent="0.45">
      <c r="A101" s="8" t="s">
        <v>98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45">
      <c r="A102" s="9" t="s">
        <v>99</v>
      </c>
      <c r="B102" s="24"/>
      <c r="C102" s="24"/>
      <c r="D102" s="24"/>
      <c r="E102" s="24"/>
      <c r="F102" s="24"/>
      <c r="G102" s="24"/>
      <c r="H102" s="24"/>
      <c r="I102" s="24"/>
    </row>
    <row r="103" spans="1:9" x14ac:dyDescent="0.45">
      <c r="A103" s="12" t="s">
        <v>100</v>
      </c>
      <c r="B103" s="24"/>
      <c r="C103" s="24"/>
      <c r="D103" s="24"/>
      <c r="E103" s="24"/>
      <c r="F103" s="24"/>
      <c r="G103" s="24"/>
      <c r="H103" s="24"/>
      <c r="I103" s="24"/>
    </row>
    <row r="104" spans="1:9" x14ac:dyDescent="0.45">
      <c r="A104" s="13" t="s">
        <v>101</v>
      </c>
      <c r="B104" s="24"/>
      <c r="C104" s="24"/>
      <c r="D104" s="24"/>
      <c r="E104" s="24"/>
      <c r="F104" s="24">
        <v>2634</v>
      </c>
      <c r="G104" s="24"/>
      <c r="H104" s="24"/>
      <c r="I104" s="24">
        <f t="shared" ref="I104:I112" si="26">B104+C104+D104+E104+F104+G104+H104</f>
        <v>2634</v>
      </c>
    </row>
    <row r="105" spans="1:9" x14ac:dyDescent="0.45">
      <c r="A105" s="13" t="s">
        <v>102</v>
      </c>
      <c r="B105" s="24"/>
      <c r="C105" s="24"/>
      <c r="D105" s="24"/>
      <c r="E105" s="24"/>
      <c r="F105" s="24">
        <v>140</v>
      </c>
      <c r="G105" s="24">
        <v>322.54000000000002</v>
      </c>
      <c r="H105" s="24">
        <v>350</v>
      </c>
      <c r="I105" s="24">
        <f t="shared" si="26"/>
        <v>812.54</v>
      </c>
    </row>
    <row r="106" spans="1:9" x14ac:dyDescent="0.45">
      <c r="A106" s="13" t="s">
        <v>103</v>
      </c>
      <c r="B106" s="24">
        <v>734.92</v>
      </c>
      <c r="C106" s="24">
        <v>320.82</v>
      </c>
      <c r="D106" s="24">
        <v>160.85</v>
      </c>
      <c r="E106" s="24"/>
      <c r="F106" s="24">
        <v>209</v>
      </c>
      <c r="G106" s="24">
        <v>147.22999999999999</v>
      </c>
      <c r="H106" s="24">
        <v>332.54</v>
      </c>
      <c r="I106" s="24">
        <f t="shared" si="26"/>
        <v>1905.36</v>
      </c>
    </row>
    <row r="107" spans="1:9" x14ac:dyDescent="0.45">
      <c r="A107" s="13" t="s">
        <v>104</v>
      </c>
      <c r="B107" s="24">
        <v>20.5</v>
      </c>
      <c r="C107" s="24">
        <v>20.52</v>
      </c>
      <c r="D107" s="24">
        <v>19.79</v>
      </c>
      <c r="E107" s="24">
        <v>20.47</v>
      </c>
      <c r="F107" s="24">
        <v>20.47</v>
      </c>
      <c r="G107" s="24"/>
      <c r="H107" s="24">
        <v>40.86</v>
      </c>
      <c r="I107" s="24">
        <f t="shared" si="26"/>
        <v>142.61000000000001</v>
      </c>
    </row>
    <row r="108" spans="1:9" x14ac:dyDescent="0.45">
      <c r="A108" s="16" t="s">
        <v>105</v>
      </c>
      <c r="B108" s="24">
        <v>85.94</v>
      </c>
      <c r="C108" s="24">
        <v>85.19</v>
      </c>
      <c r="D108" s="24">
        <v>85.19</v>
      </c>
      <c r="E108" s="24">
        <v>85.19</v>
      </c>
      <c r="F108" s="24">
        <v>85.19</v>
      </c>
      <c r="G108" s="24"/>
      <c r="H108" s="24">
        <v>170.38</v>
      </c>
      <c r="I108" s="24">
        <f t="shared" si="26"/>
        <v>597.07999999999993</v>
      </c>
    </row>
    <row r="109" spans="1:9" x14ac:dyDescent="0.45">
      <c r="A109" s="17" t="s">
        <v>106</v>
      </c>
      <c r="B109" s="25">
        <f t="shared" ref="B109:H109" si="27">B107+B108</f>
        <v>106.44</v>
      </c>
      <c r="C109" s="25">
        <f t="shared" si="27"/>
        <v>105.71</v>
      </c>
      <c r="D109" s="25">
        <f t="shared" si="27"/>
        <v>104.97999999999999</v>
      </c>
      <c r="E109" s="25">
        <f t="shared" si="27"/>
        <v>105.66</v>
      </c>
      <c r="F109" s="25">
        <f t="shared" si="27"/>
        <v>105.66</v>
      </c>
      <c r="G109" s="25">
        <f t="shared" si="27"/>
        <v>0</v>
      </c>
      <c r="H109" s="25">
        <f t="shared" si="27"/>
        <v>211.24</v>
      </c>
      <c r="I109" s="25">
        <f t="shared" si="26"/>
        <v>739.68999999999994</v>
      </c>
    </row>
    <row r="110" spans="1:9" x14ac:dyDescent="0.45">
      <c r="A110" s="13" t="s">
        <v>107</v>
      </c>
      <c r="B110" s="24">
        <v>588.91999999999996</v>
      </c>
      <c r="C110" s="24">
        <v>440.49</v>
      </c>
      <c r="D110" s="24">
        <v>425.89</v>
      </c>
      <c r="E110" s="24">
        <v>162.5</v>
      </c>
      <c r="F110" s="24">
        <v>156.94999999999999</v>
      </c>
      <c r="G110" s="24"/>
      <c r="H110" s="24">
        <v>198.33</v>
      </c>
      <c r="I110" s="24">
        <f t="shared" si="26"/>
        <v>1973.0799999999997</v>
      </c>
    </row>
    <row r="111" spans="1:9" x14ac:dyDescent="0.45">
      <c r="A111" s="14" t="s">
        <v>108</v>
      </c>
      <c r="B111" s="25">
        <f t="shared" ref="B111:H111" si="28">B103+B104+B105+B106+B109+B110</f>
        <v>1430.2799999999997</v>
      </c>
      <c r="C111" s="25">
        <f t="shared" si="28"/>
        <v>867.02</v>
      </c>
      <c r="D111" s="25">
        <f t="shared" si="28"/>
        <v>691.72</v>
      </c>
      <c r="E111" s="25">
        <f t="shared" si="28"/>
        <v>268.15999999999997</v>
      </c>
      <c r="F111" s="25">
        <f t="shared" si="28"/>
        <v>3245.6099999999997</v>
      </c>
      <c r="G111" s="25">
        <f t="shared" si="28"/>
        <v>469.77</v>
      </c>
      <c r="H111" s="25">
        <f t="shared" si="28"/>
        <v>1092.1099999999999</v>
      </c>
      <c r="I111" s="25">
        <f t="shared" si="26"/>
        <v>8064.6699999999992</v>
      </c>
    </row>
    <row r="112" spans="1:9" x14ac:dyDescent="0.45">
      <c r="A112" s="15" t="s">
        <v>109</v>
      </c>
      <c r="B112" s="25">
        <f t="shared" ref="B112:H112" si="29">B102+B111</f>
        <v>1430.2799999999997</v>
      </c>
      <c r="C112" s="25">
        <f t="shared" si="29"/>
        <v>867.02</v>
      </c>
      <c r="D112" s="25">
        <f t="shared" si="29"/>
        <v>691.72</v>
      </c>
      <c r="E112" s="25">
        <f t="shared" si="29"/>
        <v>268.15999999999997</v>
      </c>
      <c r="F112" s="25">
        <f t="shared" si="29"/>
        <v>3245.6099999999997</v>
      </c>
      <c r="G112" s="25">
        <f t="shared" si="29"/>
        <v>469.77</v>
      </c>
      <c r="H112" s="25">
        <f t="shared" si="29"/>
        <v>1092.1099999999999</v>
      </c>
      <c r="I112" s="25">
        <f t="shared" si="26"/>
        <v>8064.6699999999992</v>
      </c>
    </row>
    <row r="113" spans="1:9" x14ac:dyDescent="0.45">
      <c r="A113" s="9" t="s">
        <v>110</v>
      </c>
      <c r="B113" s="24"/>
      <c r="C113" s="24"/>
      <c r="D113" s="24"/>
      <c r="E113" s="24"/>
      <c r="F113" s="24"/>
      <c r="G113" s="24"/>
      <c r="H113" s="24"/>
      <c r="I113" s="24"/>
    </row>
    <row r="114" spans="1:9" x14ac:dyDescent="0.45">
      <c r="A114" s="12" t="s">
        <v>111</v>
      </c>
      <c r="B114" s="24"/>
      <c r="C114" s="24"/>
      <c r="D114" s="24"/>
      <c r="E114" s="24"/>
      <c r="F114" s="24"/>
      <c r="G114" s="24"/>
      <c r="H114" s="24"/>
      <c r="I114" s="24"/>
    </row>
    <row r="115" spans="1:9" x14ac:dyDescent="0.45">
      <c r="A115" s="13" t="s">
        <v>112</v>
      </c>
      <c r="B115" s="24">
        <v>66.05</v>
      </c>
      <c r="C115" s="24">
        <v>66.05</v>
      </c>
      <c r="D115" s="24">
        <v>66.05</v>
      </c>
      <c r="E115" s="24">
        <v>66.010000000000005</v>
      </c>
      <c r="F115" s="24">
        <v>66.02</v>
      </c>
      <c r="G115" s="24">
        <v>66.02</v>
      </c>
      <c r="H115" s="24">
        <v>66.06</v>
      </c>
      <c r="I115" s="24">
        <f>B115+C115+D115+E115+F115+G115+H115</f>
        <v>462.25999999999993</v>
      </c>
    </row>
    <row r="116" spans="1:9" x14ac:dyDescent="0.45">
      <c r="A116" s="13" t="s">
        <v>113</v>
      </c>
      <c r="B116" s="24">
        <v>1051.77</v>
      </c>
      <c r="C116" s="24">
        <v>1170.8900000000001</v>
      </c>
      <c r="D116" s="24"/>
      <c r="E116" s="24">
        <v>2130.04</v>
      </c>
      <c r="F116" s="24"/>
      <c r="G116" s="24">
        <v>2504.8000000000002</v>
      </c>
      <c r="H116" s="24"/>
      <c r="I116" s="24">
        <f>B116+C116+D116+E116+F116+G116+H116</f>
        <v>6857.5</v>
      </c>
    </row>
    <row r="117" spans="1:9" x14ac:dyDescent="0.45">
      <c r="A117" s="13" t="s">
        <v>114</v>
      </c>
      <c r="B117" s="24">
        <v>35</v>
      </c>
      <c r="C117" s="24"/>
      <c r="D117" s="24">
        <v>60</v>
      </c>
      <c r="E117" s="24">
        <v>183</v>
      </c>
      <c r="F117" s="24"/>
      <c r="G117" s="24"/>
      <c r="H117" s="24"/>
      <c r="I117" s="24">
        <f>B117+C117+D117+E117+F117+G117+H117</f>
        <v>278</v>
      </c>
    </row>
    <row r="118" spans="1:9" x14ac:dyDescent="0.45">
      <c r="A118" s="13" t="s">
        <v>115</v>
      </c>
      <c r="B118" s="24"/>
      <c r="C118" s="24"/>
      <c r="D118" s="24"/>
      <c r="E118" s="24">
        <v>4801.79</v>
      </c>
      <c r="F118" s="24"/>
      <c r="G118" s="24"/>
      <c r="H118" s="24"/>
      <c r="I118" s="24">
        <f>B118+C118+D118+E118+F118+G118+H118</f>
        <v>4801.79</v>
      </c>
    </row>
    <row r="119" spans="1:9" x14ac:dyDescent="0.45">
      <c r="A119" s="13" t="s">
        <v>116</v>
      </c>
      <c r="B119" s="24">
        <v>1277.1300000000001</v>
      </c>
      <c r="C119" s="24">
        <v>1329.5</v>
      </c>
      <c r="D119" s="24"/>
      <c r="E119" s="24">
        <v>1439.61</v>
      </c>
      <c r="F119" s="24">
        <v>6587.32</v>
      </c>
      <c r="G119" s="24">
        <v>4930.51</v>
      </c>
      <c r="H119" s="24">
        <v>648.70000000000005</v>
      </c>
      <c r="I119" s="24">
        <f>B119+C119+D119+E119+F119+G119+H119</f>
        <v>16212.77</v>
      </c>
    </row>
    <row r="120" spans="1:9" x14ac:dyDescent="0.45">
      <c r="A120" s="13" t="s">
        <v>117</v>
      </c>
      <c r="B120" s="24"/>
      <c r="C120" s="24"/>
      <c r="D120" s="24"/>
      <c r="E120" s="24"/>
      <c r="F120" s="24"/>
      <c r="G120" s="24"/>
      <c r="H120" s="24"/>
      <c r="I120" s="24"/>
    </row>
    <row r="121" spans="1:9" x14ac:dyDescent="0.45">
      <c r="A121" s="16" t="s">
        <v>118</v>
      </c>
      <c r="B121" s="24">
        <v>4640.6499999999996</v>
      </c>
      <c r="C121" s="24">
        <v>17876.2</v>
      </c>
      <c r="D121" s="24">
        <v>3989.6</v>
      </c>
      <c r="E121" s="24">
        <v>9267.65</v>
      </c>
      <c r="F121" s="24">
        <v>2529.5</v>
      </c>
      <c r="G121" s="24">
        <v>13806</v>
      </c>
      <c r="H121" s="24"/>
      <c r="I121" s="24">
        <f>B121+C121+D121+E121+F121+G121+H121</f>
        <v>52109.599999999999</v>
      </c>
    </row>
    <row r="122" spans="1:9" x14ac:dyDescent="0.45">
      <c r="A122" s="17" t="s">
        <v>119</v>
      </c>
      <c r="B122" s="25">
        <f t="shared" ref="B122:H122" si="30">B120+B121</f>
        <v>4640.6499999999996</v>
      </c>
      <c r="C122" s="25">
        <f t="shared" si="30"/>
        <v>17876.2</v>
      </c>
      <c r="D122" s="25">
        <f t="shared" si="30"/>
        <v>3989.6</v>
      </c>
      <c r="E122" s="25">
        <f t="shared" si="30"/>
        <v>9267.65</v>
      </c>
      <c r="F122" s="25">
        <f t="shared" si="30"/>
        <v>2529.5</v>
      </c>
      <c r="G122" s="25">
        <f t="shared" si="30"/>
        <v>13806</v>
      </c>
      <c r="H122" s="25">
        <f t="shared" si="30"/>
        <v>0</v>
      </c>
      <c r="I122" s="25">
        <f>B122+C122+D122+E122+F122+G122+H122</f>
        <v>52109.599999999999</v>
      </c>
    </row>
    <row r="123" spans="1:9" x14ac:dyDescent="0.45">
      <c r="A123" s="14" t="s">
        <v>120</v>
      </c>
      <c r="B123" s="25">
        <f t="shared" ref="B123:H123" si="31">B114+B115+B116+B117+B118+B119+B122</f>
        <v>7070.5999999999995</v>
      </c>
      <c r="C123" s="25">
        <f t="shared" si="31"/>
        <v>20442.64</v>
      </c>
      <c r="D123" s="25">
        <f t="shared" si="31"/>
        <v>4115.6499999999996</v>
      </c>
      <c r="E123" s="25">
        <f t="shared" si="31"/>
        <v>17888.099999999999</v>
      </c>
      <c r="F123" s="25">
        <f t="shared" si="31"/>
        <v>9182.84</v>
      </c>
      <c r="G123" s="25">
        <f t="shared" si="31"/>
        <v>21307.33</v>
      </c>
      <c r="H123" s="25">
        <f t="shared" si="31"/>
        <v>714.76</v>
      </c>
      <c r="I123" s="25">
        <f>B123+C123+D123+E123+F123+G123+H123</f>
        <v>80721.919999999998</v>
      </c>
    </row>
    <row r="124" spans="1:9" x14ac:dyDescent="0.45">
      <c r="A124" s="12" t="s">
        <v>121</v>
      </c>
      <c r="B124" s="24"/>
      <c r="C124" s="24"/>
      <c r="D124" s="24"/>
      <c r="E124" s="24"/>
      <c r="F124" s="24"/>
      <c r="G124" s="24"/>
      <c r="H124" s="24"/>
      <c r="I124" s="24"/>
    </row>
    <row r="125" spans="1:9" x14ac:dyDescent="0.45">
      <c r="A125" s="13" t="s">
        <v>122</v>
      </c>
      <c r="B125" s="24">
        <v>180.83</v>
      </c>
      <c r="C125" s="24"/>
      <c r="D125" s="24"/>
      <c r="E125" s="24">
        <v>449.32</v>
      </c>
      <c r="F125" s="24"/>
      <c r="G125" s="24"/>
      <c r="H125" s="24"/>
      <c r="I125" s="24">
        <f>B125+C125+D125+E125+F125+G125+H125</f>
        <v>630.15</v>
      </c>
    </row>
    <row r="126" spans="1:9" x14ac:dyDescent="0.45">
      <c r="A126" s="13" t="s">
        <v>123</v>
      </c>
      <c r="B126" s="24"/>
      <c r="C126" s="24"/>
      <c r="D126" s="24"/>
      <c r="E126" s="24">
        <v>18447.77</v>
      </c>
      <c r="F126" s="24"/>
      <c r="G126" s="24">
        <v>10306.16</v>
      </c>
      <c r="H126" s="24"/>
      <c r="I126" s="24">
        <f>B126+C126+D126+E126+F126+G126+H126</f>
        <v>28753.93</v>
      </c>
    </row>
    <row r="127" spans="1:9" x14ac:dyDescent="0.45">
      <c r="A127" s="13" t="s">
        <v>124</v>
      </c>
      <c r="B127" s="24">
        <v>3451.18</v>
      </c>
      <c r="C127" s="24"/>
      <c r="D127" s="24"/>
      <c r="E127" s="24">
        <v>322.02</v>
      </c>
      <c r="F127" s="24"/>
      <c r="G127" s="24"/>
      <c r="H127" s="24"/>
      <c r="I127" s="24">
        <f>B127+C127+D127+E127+F127+G127+H127</f>
        <v>3773.2</v>
      </c>
    </row>
    <row r="128" spans="1:9" x14ac:dyDescent="0.45">
      <c r="A128" s="14" t="s">
        <v>125</v>
      </c>
      <c r="B128" s="25">
        <f t="shared" ref="B128:H128" si="32">B124+B125+B126+B127</f>
        <v>3632.0099999999998</v>
      </c>
      <c r="C128" s="25">
        <f t="shared" si="32"/>
        <v>0</v>
      </c>
      <c r="D128" s="25">
        <f t="shared" si="32"/>
        <v>0</v>
      </c>
      <c r="E128" s="25">
        <f t="shared" si="32"/>
        <v>19219.11</v>
      </c>
      <c r="F128" s="25">
        <f t="shared" si="32"/>
        <v>0</v>
      </c>
      <c r="G128" s="25">
        <f t="shared" si="32"/>
        <v>10306.16</v>
      </c>
      <c r="H128" s="25">
        <f t="shared" si="32"/>
        <v>0</v>
      </c>
      <c r="I128" s="25">
        <f>B128+C128+D128+E128+F128+G128+H128</f>
        <v>33157.279999999999</v>
      </c>
    </row>
    <row r="129" spans="1:9" x14ac:dyDescent="0.45">
      <c r="A129" s="12" t="s">
        <v>126</v>
      </c>
      <c r="B129" s="24"/>
      <c r="C129" s="24"/>
      <c r="D129" s="24"/>
      <c r="E129" s="24"/>
      <c r="F129" s="24"/>
      <c r="G129" s="24"/>
      <c r="H129" s="24"/>
      <c r="I129" s="24"/>
    </row>
    <row r="130" spans="1:9" x14ac:dyDescent="0.45">
      <c r="A130" s="13" t="s">
        <v>127</v>
      </c>
      <c r="B130" s="24">
        <v>3193.08</v>
      </c>
      <c r="C130" s="24">
        <v>3194.38</v>
      </c>
      <c r="D130" s="24">
        <v>3194.38</v>
      </c>
      <c r="E130" s="24">
        <v>3194.38</v>
      </c>
      <c r="F130" s="24">
        <v>3194.38</v>
      </c>
      <c r="G130" s="24">
        <v>-480.12</v>
      </c>
      <c r="H130" s="24">
        <v>-391.08</v>
      </c>
      <c r="I130" s="24">
        <f t="shared" ref="I130:I142" si="33">B130+C130+D130+E130+F130+G130+H130</f>
        <v>15099.400000000001</v>
      </c>
    </row>
    <row r="131" spans="1:9" x14ac:dyDescent="0.45">
      <c r="A131" s="13" t="s">
        <v>128</v>
      </c>
      <c r="B131" s="24"/>
      <c r="C131" s="24">
        <v>0</v>
      </c>
      <c r="D131" s="24"/>
      <c r="E131" s="24">
        <v>375.58</v>
      </c>
      <c r="F131" s="24">
        <v>100.96</v>
      </c>
      <c r="G131" s="24">
        <v>360.86</v>
      </c>
      <c r="H131" s="24">
        <v>612.54</v>
      </c>
      <c r="I131" s="24">
        <f t="shared" si="33"/>
        <v>1449.94</v>
      </c>
    </row>
    <row r="132" spans="1:9" x14ac:dyDescent="0.45">
      <c r="A132" s="13" t="s">
        <v>129</v>
      </c>
      <c r="B132" s="24">
        <v>7405.71</v>
      </c>
      <c r="C132" s="24">
        <v>8281.98</v>
      </c>
      <c r="D132" s="24">
        <v>6414.23</v>
      </c>
      <c r="E132" s="24">
        <v>7056.18</v>
      </c>
      <c r="F132" s="24">
        <v>7076.12</v>
      </c>
      <c r="G132" s="24">
        <v>4641.97</v>
      </c>
      <c r="H132" s="24">
        <v>9176.18</v>
      </c>
      <c r="I132" s="24">
        <f t="shared" si="33"/>
        <v>50052.37</v>
      </c>
    </row>
    <row r="133" spans="1:9" x14ac:dyDescent="0.45">
      <c r="A133" s="13" t="s">
        <v>130</v>
      </c>
      <c r="B133" s="24"/>
      <c r="C133" s="24">
        <v>2937.15</v>
      </c>
      <c r="D133" s="24">
        <v>1441.13</v>
      </c>
      <c r="E133" s="24">
        <v>1592.1</v>
      </c>
      <c r="F133" s="24">
        <v>1852.88</v>
      </c>
      <c r="G133" s="24">
        <v>1756.46</v>
      </c>
      <c r="H133" s="24">
        <v>1770.53</v>
      </c>
      <c r="I133" s="24">
        <f t="shared" si="33"/>
        <v>11350.250000000002</v>
      </c>
    </row>
    <row r="134" spans="1:9" x14ac:dyDescent="0.45">
      <c r="A134" s="13" t="s">
        <v>131</v>
      </c>
      <c r="B134" s="24">
        <v>719.18</v>
      </c>
      <c r="C134" s="24">
        <v>750.38</v>
      </c>
      <c r="D134" s="24">
        <v>-525.39</v>
      </c>
      <c r="E134" s="24">
        <v>472.36</v>
      </c>
      <c r="F134" s="24">
        <v>1754.05</v>
      </c>
      <c r="G134" s="24">
        <v>564.26</v>
      </c>
      <c r="H134" s="24">
        <v>-591.27</v>
      </c>
      <c r="I134" s="24">
        <f t="shared" si="33"/>
        <v>3143.57</v>
      </c>
    </row>
    <row r="135" spans="1:9" x14ac:dyDescent="0.45">
      <c r="A135" s="14" t="s">
        <v>132</v>
      </c>
      <c r="B135" s="25">
        <f t="shared" ref="B135:H135" si="34">B129+B130+B131+B132+B133+B134</f>
        <v>11317.970000000001</v>
      </c>
      <c r="C135" s="25">
        <f t="shared" si="34"/>
        <v>15163.89</v>
      </c>
      <c r="D135" s="25">
        <f t="shared" si="34"/>
        <v>10524.350000000002</v>
      </c>
      <c r="E135" s="25">
        <f t="shared" si="34"/>
        <v>12690.6</v>
      </c>
      <c r="F135" s="25">
        <f t="shared" si="34"/>
        <v>13978.39</v>
      </c>
      <c r="G135" s="25">
        <f t="shared" si="34"/>
        <v>6843.43</v>
      </c>
      <c r="H135" s="25">
        <f t="shared" si="34"/>
        <v>10576.9</v>
      </c>
      <c r="I135" s="25">
        <f t="shared" si="33"/>
        <v>81095.53</v>
      </c>
    </row>
    <row r="136" spans="1:9" x14ac:dyDescent="0.45">
      <c r="A136" s="12" t="s">
        <v>133</v>
      </c>
      <c r="B136" s="24">
        <v>614.72</v>
      </c>
      <c r="C136" s="24">
        <v>7848.64</v>
      </c>
      <c r="D136" s="24">
        <v>23.91</v>
      </c>
      <c r="E136" s="24">
        <v>1652.67</v>
      </c>
      <c r="F136" s="24">
        <v>31.3</v>
      </c>
      <c r="G136" s="24">
        <v>108.61</v>
      </c>
      <c r="H136" s="24"/>
      <c r="I136" s="24">
        <f t="shared" si="33"/>
        <v>10279.85</v>
      </c>
    </row>
    <row r="137" spans="1:9" x14ac:dyDescent="0.45">
      <c r="A137" s="13" t="s">
        <v>134</v>
      </c>
      <c r="B137" s="24"/>
      <c r="C137" s="24"/>
      <c r="D137" s="24"/>
      <c r="E137" s="24"/>
      <c r="F137" s="24">
        <v>1128.6400000000001</v>
      </c>
      <c r="G137" s="24">
        <v>47.64</v>
      </c>
      <c r="H137" s="24"/>
      <c r="I137" s="24">
        <f t="shared" si="33"/>
        <v>1176.2800000000002</v>
      </c>
    </row>
    <row r="138" spans="1:9" x14ac:dyDescent="0.45">
      <c r="A138" s="13" t="s">
        <v>135</v>
      </c>
      <c r="B138" s="24"/>
      <c r="C138" s="24"/>
      <c r="D138" s="24"/>
      <c r="E138" s="24"/>
      <c r="F138" s="24"/>
      <c r="G138" s="24"/>
      <c r="H138" s="24">
        <v>5320.01</v>
      </c>
      <c r="I138" s="24">
        <f t="shared" si="33"/>
        <v>5320.01</v>
      </c>
    </row>
    <row r="139" spans="1:9" x14ac:dyDescent="0.45">
      <c r="A139" s="14" t="s">
        <v>136</v>
      </c>
      <c r="B139" s="25">
        <f t="shared" ref="B139:H139" si="35">B136+B137+B138</f>
        <v>614.72</v>
      </c>
      <c r="C139" s="25">
        <f t="shared" si="35"/>
        <v>7848.64</v>
      </c>
      <c r="D139" s="25">
        <f t="shared" si="35"/>
        <v>23.91</v>
      </c>
      <c r="E139" s="25">
        <f t="shared" si="35"/>
        <v>1652.67</v>
      </c>
      <c r="F139" s="25">
        <f t="shared" si="35"/>
        <v>1159.94</v>
      </c>
      <c r="G139" s="25">
        <f t="shared" si="35"/>
        <v>156.25</v>
      </c>
      <c r="H139" s="25">
        <f t="shared" si="35"/>
        <v>5320.01</v>
      </c>
      <c r="I139" s="25">
        <f t="shared" si="33"/>
        <v>16776.14</v>
      </c>
    </row>
    <row r="140" spans="1:9" x14ac:dyDescent="0.45">
      <c r="A140" s="15" t="s">
        <v>137</v>
      </c>
      <c r="B140" s="25">
        <f t="shared" ref="B140:H140" si="36">B113+B123+B128+B135+B139</f>
        <v>22635.300000000003</v>
      </c>
      <c r="C140" s="25">
        <f t="shared" si="36"/>
        <v>43455.17</v>
      </c>
      <c r="D140" s="25">
        <f t="shared" si="36"/>
        <v>14663.910000000002</v>
      </c>
      <c r="E140" s="25">
        <f t="shared" si="36"/>
        <v>51450.479999999996</v>
      </c>
      <c r="F140" s="25">
        <f t="shared" si="36"/>
        <v>24321.17</v>
      </c>
      <c r="G140" s="25">
        <f t="shared" si="36"/>
        <v>38613.17</v>
      </c>
      <c r="H140" s="25">
        <f t="shared" si="36"/>
        <v>16611.669999999998</v>
      </c>
      <c r="I140" s="25">
        <f t="shared" si="33"/>
        <v>211750.86999999994</v>
      </c>
    </row>
    <row r="141" spans="1:9" x14ac:dyDescent="0.45">
      <c r="A141" s="9" t="s">
        <v>138</v>
      </c>
      <c r="B141" s="24">
        <v>68108</v>
      </c>
      <c r="C141" s="24"/>
      <c r="D141" s="24"/>
      <c r="E141" s="24"/>
      <c r="F141" s="24"/>
      <c r="G141" s="24"/>
      <c r="H141" s="24"/>
      <c r="I141" s="24">
        <f t="shared" si="33"/>
        <v>68108</v>
      </c>
    </row>
    <row r="142" spans="1:9" x14ac:dyDescent="0.45">
      <c r="A142" s="10" t="s">
        <v>139</v>
      </c>
      <c r="B142" s="25">
        <f t="shared" ref="B142:H142" si="37">B101+B112+B140+B141</f>
        <v>92173.58</v>
      </c>
      <c r="C142" s="25">
        <f t="shared" si="37"/>
        <v>44322.189999999995</v>
      </c>
      <c r="D142" s="25">
        <f t="shared" si="37"/>
        <v>15355.630000000001</v>
      </c>
      <c r="E142" s="25">
        <f t="shared" si="37"/>
        <v>51718.64</v>
      </c>
      <c r="F142" s="25">
        <f t="shared" si="37"/>
        <v>27566.78</v>
      </c>
      <c r="G142" s="25">
        <f t="shared" si="37"/>
        <v>39082.939999999995</v>
      </c>
      <c r="H142" s="25">
        <f t="shared" si="37"/>
        <v>17703.78</v>
      </c>
      <c r="I142" s="25">
        <f t="shared" si="33"/>
        <v>287923.53999999992</v>
      </c>
    </row>
    <row r="143" spans="1:9" x14ac:dyDescent="0.45">
      <c r="A143" s="8" t="s">
        <v>140</v>
      </c>
      <c r="B143" s="24"/>
      <c r="C143" s="24"/>
      <c r="D143" s="24"/>
      <c r="E143" s="24"/>
      <c r="F143" s="24"/>
      <c r="G143" s="24"/>
      <c r="H143" s="24"/>
      <c r="I143" s="24"/>
    </row>
    <row r="144" spans="1:9" x14ac:dyDescent="0.45">
      <c r="A144" s="9" t="s">
        <v>141</v>
      </c>
      <c r="B144" s="24">
        <v>19867</v>
      </c>
      <c r="C144" s="24"/>
      <c r="D144" s="24"/>
      <c r="E144" s="24"/>
      <c r="F144" s="24"/>
      <c r="G144" s="24"/>
      <c r="H144" s="24"/>
      <c r="I144" s="24">
        <f>B144+C144+D144+E144+F144+G144+H144</f>
        <v>19867</v>
      </c>
    </row>
    <row r="145" spans="1:9" x14ac:dyDescent="0.45">
      <c r="A145" s="9" t="s">
        <v>142</v>
      </c>
      <c r="B145" s="24"/>
      <c r="C145" s="24">
        <v>5000</v>
      </c>
      <c r="D145" s="24"/>
      <c r="E145" s="24"/>
      <c r="F145" s="24"/>
      <c r="G145" s="24"/>
      <c r="H145" s="24"/>
      <c r="I145" s="24">
        <f>B145+C145+D145+E145+F145+G145+H145</f>
        <v>5000</v>
      </c>
    </row>
    <row r="146" spans="1:9" x14ac:dyDescent="0.45">
      <c r="A146" s="10" t="s">
        <v>143</v>
      </c>
      <c r="B146" s="25">
        <f t="shared" ref="B146:H146" si="38">B143+B144+B145</f>
        <v>19867</v>
      </c>
      <c r="C146" s="25">
        <f t="shared" si="38"/>
        <v>5000</v>
      </c>
      <c r="D146" s="25">
        <f t="shared" si="38"/>
        <v>0</v>
      </c>
      <c r="E146" s="25">
        <f t="shared" si="38"/>
        <v>0</v>
      </c>
      <c r="F146" s="25">
        <f t="shared" si="38"/>
        <v>0</v>
      </c>
      <c r="G146" s="25">
        <f t="shared" si="38"/>
        <v>0</v>
      </c>
      <c r="H146" s="25">
        <f t="shared" si="38"/>
        <v>0</v>
      </c>
      <c r="I146" s="25">
        <f>B146+C146+D146+E146+F146+G146+H146</f>
        <v>24867</v>
      </c>
    </row>
    <row r="147" spans="1:9" x14ac:dyDescent="0.45">
      <c r="A147" s="8" t="s">
        <v>144</v>
      </c>
      <c r="B147" s="24"/>
      <c r="C147" s="24"/>
      <c r="D147" s="24"/>
      <c r="E147" s="24"/>
      <c r="F147" s="24"/>
      <c r="G147" s="24"/>
      <c r="H147" s="24"/>
      <c r="I147" s="24"/>
    </row>
    <row r="148" spans="1:9" x14ac:dyDescent="0.45">
      <c r="A148" s="9" t="s">
        <v>145</v>
      </c>
      <c r="B148" s="24"/>
      <c r="C148" s="24"/>
      <c r="D148" s="24"/>
      <c r="E148" s="24"/>
      <c r="F148" s="24"/>
      <c r="G148" s="24"/>
      <c r="H148" s="24"/>
      <c r="I148" s="24"/>
    </row>
    <row r="149" spans="1:9" x14ac:dyDescent="0.45">
      <c r="A149" s="12" t="s">
        <v>146</v>
      </c>
      <c r="B149" s="24"/>
      <c r="C149" s="24"/>
      <c r="D149" s="24"/>
      <c r="E149" s="24">
        <v>9441.4599999999991</v>
      </c>
      <c r="F149" s="24"/>
      <c r="G149" s="24"/>
      <c r="H149" s="24"/>
      <c r="I149" s="24">
        <f>B149+C149+D149+E149+F149+G149+H149</f>
        <v>9441.4599999999991</v>
      </c>
    </row>
    <row r="150" spans="1:9" x14ac:dyDescent="0.45">
      <c r="A150" s="12" t="s">
        <v>147</v>
      </c>
      <c r="B150" s="24">
        <v>691.24</v>
      </c>
      <c r="C150" s="24">
        <v>691.24</v>
      </c>
      <c r="D150" s="24">
        <v>691.24</v>
      </c>
      <c r="E150" s="24">
        <v>691.24</v>
      </c>
      <c r="F150" s="24">
        <v>691.24</v>
      </c>
      <c r="G150" s="24">
        <v>691.24</v>
      </c>
      <c r="H150" s="24">
        <v>691.24</v>
      </c>
      <c r="I150" s="24">
        <f>B150+C150+D150+E150+F150+G150+H150</f>
        <v>4838.6799999999994</v>
      </c>
    </row>
    <row r="151" spans="1:9" x14ac:dyDescent="0.45">
      <c r="A151" s="12" t="s">
        <v>148</v>
      </c>
      <c r="B151" s="24"/>
      <c r="C151" s="24"/>
      <c r="D151" s="24">
        <v>13717.02</v>
      </c>
      <c r="E151" s="24"/>
      <c r="F151" s="24"/>
      <c r="G151" s="24"/>
      <c r="H151" s="24"/>
      <c r="I151" s="24">
        <f>B151+C151+D151+E151+F151+G151+H151</f>
        <v>13717.02</v>
      </c>
    </row>
    <row r="152" spans="1:9" x14ac:dyDescent="0.45">
      <c r="A152" s="15" t="s">
        <v>149</v>
      </c>
      <c r="B152" s="25">
        <f t="shared" ref="B152:H152" si="39">B148+B149+B150+B151</f>
        <v>691.24</v>
      </c>
      <c r="C152" s="25">
        <f t="shared" si="39"/>
        <v>691.24</v>
      </c>
      <c r="D152" s="25">
        <f t="shared" si="39"/>
        <v>14408.26</v>
      </c>
      <c r="E152" s="25">
        <f t="shared" si="39"/>
        <v>10132.699999999999</v>
      </c>
      <c r="F152" s="25">
        <f t="shared" si="39"/>
        <v>691.24</v>
      </c>
      <c r="G152" s="25">
        <f t="shared" si="39"/>
        <v>691.24</v>
      </c>
      <c r="H152" s="25">
        <f t="shared" si="39"/>
        <v>691.24</v>
      </c>
      <c r="I152" s="25">
        <f>B152+C152+D152+E152+F152+G152+H152</f>
        <v>27997.160000000003</v>
      </c>
    </row>
    <row r="153" spans="1:9" x14ac:dyDescent="0.45">
      <c r="A153" s="9" t="s">
        <v>150</v>
      </c>
      <c r="B153" s="24"/>
      <c r="C153" s="24"/>
      <c r="D153" s="24"/>
      <c r="E153" s="24"/>
      <c r="F153" s="24"/>
      <c r="G153" s="24"/>
      <c r="H153" s="24"/>
      <c r="I153" s="24"/>
    </row>
    <row r="154" spans="1:9" x14ac:dyDescent="0.45">
      <c r="A154" s="12" t="s">
        <v>151</v>
      </c>
      <c r="B154" s="24"/>
      <c r="C154" s="24">
        <f>923.56+12966.77</f>
        <v>13890.33</v>
      </c>
      <c r="D154" s="24"/>
      <c r="E154" s="24"/>
      <c r="F154" s="24"/>
      <c r="G154" s="24"/>
      <c r="H154" s="24"/>
      <c r="I154" s="24">
        <f t="shared" ref="I154:I159" si="40">B154+C154+D154+E154+F154+G154+H154</f>
        <v>13890.33</v>
      </c>
    </row>
    <row r="155" spans="1:9" x14ac:dyDescent="0.45">
      <c r="A155" s="12" t="s">
        <v>152</v>
      </c>
      <c r="B155" s="24">
        <v>3327.53</v>
      </c>
      <c r="C155" s="24">
        <v>3327.53</v>
      </c>
      <c r="D155" s="24">
        <v>3327.53</v>
      </c>
      <c r="E155" s="24">
        <v>3327.53</v>
      </c>
      <c r="F155" s="24">
        <v>3327.53</v>
      </c>
      <c r="G155" s="24">
        <v>3327.53</v>
      </c>
      <c r="H155" s="24">
        <v>3327.53</v>
      </c>
      <c r="I155" s="24">
        <f t="shared" si="40"/>
        <v>23292.71</v>
      </c>
    </row>
    <row r="156" spans="1:9" x14ac:dyDescent="0.45">
      <c r="A156" s="12" t="s">
        <v>153</v>
      </c>
      <c r="B156" s="24"/>
      <c r="C156" s="24">
        <f>21617.75+38217.56</f>
        <v>59835.31</v>
      </c>
      <c r="D156" s="24"/>
      <c r="E156" s="24"/>
      <c r="F156" s="24"/>
      <c r="G156" s="24"/>
      <c r="H156" s="24"/>
      <c r="I156" s="24">
        <f t="shared" si="40"/>
        <v>59835.31</v>
      </c>
    </row>
    <row r="157" spans="1:9" x14ac:dyDescent="0.45">
      <c r="A157" s="15" t="s">
        <v>154</v>
      </c>
      <c r="B157" s="25">
        <f t="shared" ref="B157:H157" si="41">B153+B154+B155+B156</f>
        <v>3327.53</v>
      </c>
      <c r="C157" s="25">
        <f t="shared" si="41"/>
        <v>77053.17</v>
      </c>
      <c r="D157" s="25">
        <f t="shared" si="41"/>
        <v>3327.53</v>
      </c>
      <c r="E157" s="25">
        <f t="shared" si="41"/>
        <v>3327.53</v>
      </c>
      <c r="F157" s="25">
        <f t="shared" si="41"/>
        <v>3327.53</v>
      </c>
      <c r="G157" s="25">
        <f t="shared" si="41"/>
        <v>3327.53</v>
      </c>
      <c r="H157" s="25">
        <f t="shared" si="41"/>
        <v>3327.53</v>
      </c>
      <c r="I157" s="25">
        <f t="shared" si="40"/>
        <v>97018.349999999991</v>
      </c>
    </row>
    <row r="158" spans="1:9" x14ac:dyDescent="0.45">
      <c r="A158" s="10" t="s">
        <v>155</v>
      </c>
      <c r="B158" s="25">
        <f t="shared" ref="B158:H158" si="42">B147+B152+B157</f>
        <v>4018.7700000000004</v>
      </c>
      <c r="C158" s="25">
        <f t="shared" si="42"/>
        <v>77744.41</v>
      </c>
      <c r="D158" s="25">
        <f t="shared" si="42"/>
        <v>17735.79</v>
      </c>
      <c r="E158" s="25">
        <f t="shared" si="42"/>
        <v>13460.23</v>
      </c>
      <c r="F158" s="25">
        <f t="shared" si="42"/>
        <v>4018.7700000000004</v>
      </c>
      <c r="G158" s="25">
        <f t="shared" si="42"/>
        <v>4018.7700000000004</v>
      </c>
      <c r="H158" s="25">
        <f t="shared" si="42"/>
        <v>4018.7700000000004</v>
      </c>
      <c r="I158" s="25">
        <f t="shared" si="40"/>
        <v>125015.51000000001</v>
      </c>
    </row>
    <row r="159" spans="1:9" x14ac:dyDescent="0.45">
      <c r="A159" s="8" t="s">
        <v>156</v>
      </c>
      <c r="B159" s="24">
        <v>921.97</v>
      </c>
      <c r="C159" s="24">
        <v>922.01</v>
      </c>
      <c r="D159" s="24">
        <v>922.01</v>
      </c>
      <c r="E159" s="24">
        <v>922.01</v>
      </c>
      <c r="F159" s="24">
        <v>922.01</v>
      </c>
      <c r="G159" s="24">
        <v>922.01</v>
      </c>
      <c r="H159" s="24">
        <v>922.01</v>
      </c>
      <c r="I159" s="24">
        <f t="shared" si="40"/>
        <v>6454.0300000000007</v>
      </c>
    </row>
    <row r="160" spans="1:9" x14ac:dyDescent="0.45">
      <c r="A160" s="8" t="s">
        <v>157</v>
      </c>
      <c r="B160" s="24"/>
      <c r="C160" s="24"/>
      <c r="D160" s="24"/>
      <c r="E160" s="24"/>
      <c r="F160" s="24"/>
      <c r="G160" s="24"/>
      <c r="H160" s="24"/>
      <c r="I160" s="24"/>
    </row>
    <row r="161" spans="1:9" x14ac:dyDescent="0.45">
      <c r="A161" s="9" t="s">
        <v>158</v>
      </c>
      <c r="B161" s="24">
        <v>511.5</v>
      </c>
      <c r="C161" s="24">
        <v>409.01</v>
      </c>
      <c r="D161" s="24">
        <v>333.98</v>
      </c>
      <c r="E161" s="24">
        <v>265.91000000000003</v>
      </c>
      <c r="F161" s="24">
        <v>594.83000000000004</v>
      </c>
      <c r="G161" s="24">
        <v>550.07000000000005</v>
      </c>
      <c r="H161" s="24">
        <v>734.77</v>
      </c>
      <c r="I161" s="24">
        <f t="shared" ref="I161:I167" si="43">B161+C161+D161+E161+F161+G161+H161</f>
        <v>3400.07</v>
      </c>
    </row>
    <row r="162" spans="1:9" x14ac:dyDescent="0.45">
      <c r="A162" s="9" t="s">
        <v>102</v>
      </c>
      <c r="B162" s="24"/>
      <c r="C162" s="24"/>
      <c r="D162" s="24"/>
      <c r="E162" s="24">
        <v>639.85</v>
      </c>
      <c r="F162" s="24">
        <v>1177.9000000000001</v>
      </c>
      <c r="G162" s="24">
        <v>1062.43</v>
      </c>
      <c r="H162" s="24">
        <v>1154.97</v>
      </c>
      <c r="I162" s="24">
        <f t="shared" si="43"/>
        <v>4035.1500000000005</v>
      </c>
    </row>
    <row r="163" spans="1:9" x14ac:dyDescent="0.45">
      <c r="A163" s="9" t="s">
        <v>159</v>
      </c>
      <c r="B163" s="24">
        <v>406.65</v>
      </c>
      <c r="C163" s="24">
        <v>225</v>
      </c>
      <c r="D163" s="24">
        <v>20.74</v>
      </c>
      <c r="E163" s="24">
        <v>42.18</v>
      </c>
      <c r="F163" s="24">
        <v>89.2</v>
      </c>
      <c r="G163" s="24">
        <v>1142.1099999999999</v>
      </c>
      <c r="H163" s="24">
        <v>77.239999999999995</v>
      </c>
      <c r="I163" s="24">
        <f t="shared" si="43"/>
        <v>2003.12</v>
      </c>
    </row>
    <row r="164" spans="1:9" x14ac:dyDescent="0.45">
      <c r="A164" s="9" t="s">
        <v>160</v>
      </c>
      <c r="B164" s="24">
        <v>16.22</v>
      </c>
      <c r="C164" s="24">
        <v>284.24</v>
      </c>
      <c r="D164" s="24">
        <v>287.97000000000003</v>
      </c>
      <c r="E164" s="24">
        <v>284.73</v>
      </c>
      <c r="F164" s="24">
        <v>288.58</v>
      </c>
      <c r="G164" s="24">
        <v>248.56</v>
      </c>
      <c r="H164" s="24">
        <v>328.48</v>
      </c>
      <c r="I164" s="24">
        <f t="shared" si="43"/>
        <v>1738.78</v>
      </c>
    </row>
    <row r="165" spans="1:9" x14ac:dyDescent="0.45">
      <c r="A165" s="9" t="s">
        <v>161</v>
      </c>
      <c r="B165" s="24">
        <v>110</v>
      </c>
      <c r="C165" s="24">
        <v>240</v>
      </c>
      <c r="D165" s="24"/>
      <c r="E165" s="24">
        <v>60</v>
      </c>
      <c r="F165" s="24"/>
      <c r="G165" s="24"/>
      <c r="H165" s="24"/>
      <c r="I165" s="24">
        <f t="shared" si="43"/>
        <v>410</v>
      </c>
    </row>
    <row r="166" spans="1:9" x14ac:dyDescent="0.45">
      <c r="A166" s="9" t="s">
        <v>162</v>
      </c>
      <c r="B166" s="24">
        <v>648.72</v>
      </c>
      <c r="C166" s="24">
        <v>546.97</v>
      </c>
      <c r="D166" s="24">
        <v>419.33</v>
      </c>
      <c r="E166" s="24">
        <v>313.08999999999997</v>
      </c>
      <c r="F166" s="24">
        <v>278.14</v>
      </c>
      <c r="G166" s="24"/>
      <c r="H166" s="24">
        <v>673.87</v>
      </c>
      <c r="I166" s="24">
        <f t="shared" si="43"/>
        <v>2880.12</v>
      </c>
    </row>
    <row r="167" spans="1:9" x14ac:dyDescent="0.45">
      <c r="A167" s="10" t="s">
        <v>163</v>
      </c>
      <c r="B167" s="25">
        <f t="shared" ref="B167:H167" si="44">B160+B161+B162+B163+B164+B165+B166</f>
        <v>1693.09</v>
      </c>
      <c r="C167" s="25">
        <f t="shared" si="44"/>
        <v>1705.22</v>
      </c>
      <c r="D167" s="25">
        <f t="shared" si="44"/>
        <v>1062.02</v>
      </c>
      <c r="E167" s="25">
        <f t="shared" si="44"/>
        <v>1605.76</v>
      </c>
      <c r="F167" s="25">
        <f t="shared" si="44"/>
        <v>2428.65</v>
      </c>
      <c r="G167" s="25">
        <f t="shared" si="44"/>
        <v>3003.1699999999996</v>
      </c>
      <c r="H167" s="25">
        <f t="shared" si="44"/>
        <v>2969.33</v>
      </c>
      <c r="I167" s="25">
        <f t="shared" si="43"/>
        <v>14467.24</v>
      </c>
    </row>
    <row r="168" spans="1:9" x14ac:dyDescent="0.45">
      <c r="A168" s="8" t="s">
        <v>164</v>
      </c>
      <c r="B168" s="24"/>
      <c r="C168" s="24"/>
      <c r="D168" s="24"/>
      <c r="E168" s="24"/>
      <c r="F168" s="24"/>
      <c r="G168" s="24"/>
      <c r="H168" s="24"/>
      <c r="I168" s="24"/>
    </row>
    <row r="169" spans="1:9" x14ac:dyDescent="0.45">
      <c r="A169" s="9" t="s">
        <v>165</v>
      </c>
      <c r="B169" s="24">
        <v>2668.32</v>
      </c>
      <c r="C169" s="24">
        <v>2729.52</v>
      </c>
      <c r="D169" s="24">
        <v>2729.52</v>
      </c>
      <c r="E169" s="24">
        <v>2729.52</v>
      </c>
      <c r="F169" s="24">
        <v>2729.52</v>
      </c>
      <c r="G169" s="24">
        <v>2729.52</v>
      </c>
      <c r="H169" s="24">
        <v>2729.52</v>
      </c>
      <c r="I169" s="24">
        <f>B169+C169+D169+E169+F169+G169+H169</f>
        <v>19045.440000000002</v>
      </c>
    </row>
    <row r="170" spans="1:9" x14ac:dyDescent="0.45">
      <c r="A170" s="9" t="s">
        <v>166</v>
      </c>
      <c r="B170" s="24">
        <v>5814</v>
      </c>
      <c r="C170" s="24">
        <v>5875.2</v>
      </c>
      <c r="D170" s="24">
        <v>5875.2</v>
      </c>
      <c r="E170" s="24">
        <v>5875.2</v>
      </c>
      <c r="F170" s="24">
        <v>5875.2</v>
      </c>
      <c r="G170" s="24">
        <v>5875.2</v>
      </c>
      <c r="H170" s="24">
        <v>5875.2</v>
      </c>
      <c r="I170" s="24">
        <f>B170+C170+D170+E170+F170+G170+H170</f>
        <v>41065.199999999997</v>
      </c>
    </row>
    <row r="171" spans="1:9" x14ac:dyDescent="0.45">
      <c r="A171" s="10" t="s">
        <v>167</v>
      </c>
      <c r="B171" s="25">
        <f t="shared" ref="B171:H171" si="45">B168+B169+B170</f>
        <v>8482.32</v>
      </c>
      <c r="C171" s="25">
        <f t="shared" si="45"/>
        <v>8604.7199999999993</v>
      </c>
      <c r="D171" s="25">
        <f t="shared" si="45"/>
        <v>8604.7199999999993</v>
      </c>
      <c r="E171" s="25">
        <f t="shared" si="45"/>
        <v>8604.7199999999993</v>
      </c>
      <c r="F171" s="25">
        <f t="shared" si="45"/>
        <v>8604.7199999999993</v>
      </c>
      <c r="G171" s="25">
        <f t="shared" si="45"/>
        <v>8604.7199999999993</v>
      </c>
      <c r="H171" s="25">
        <f t="shared" si="45"/>
        <v>8604.7199999999993</v>
      </c>
      <c r="I171" s="25">
        <f>B171+C171+D171+E171+F171+G171+H171</f>
        <v>60110.640000000007</v>
      </c>
    </row>
    <row r="172" spans="1:9" x14ac:dyDescent="0.45">
      <c r="A172" s="11" t="s">
        <v>168</v>
      </c>
      <c r="B172" s="25">
        <f t="shared" ref="B172:H172" si="46">B46+B87+B100+B142+B146+B158+B159+B167+B171</f>
        <v>177531.78</v>
      </c>
      <c r="C172" s="25">
        <f t="shared" si="46"/>
        <v>220837.04</v>
      </c>
      <c r="D172" s="25">
        <f t="shared" si="46"/>
        <v>51481.47</v>
      </c>
      <c r="E172" s="25">
        <f t="shared" si="46"/>
        <v>89833.689999999988</v>
      </c>
      <c r="F172" s="25">
        <f t="shared" si="46"/>
        <v>74029.260000000009</v>
      </c>
      <c r="G172" s="25">
        <f t="shared" si="46"/>
        <v>93220.14</v>
      </c>
      <c r="H172" s="25">
        <f t="shared" si="46"/>
        <v>51883.500000000007</v>
      </c>
      <c r="I172" s="25">
        <f>B172+C172+D172+E172+F172+G172+H172</f>
        <v>758816.88</v>
      </c>
    </row>
    <row r="173" spans="1:9" x14ac:dyDescent="0.45">
      <c r="A173" s="11" t="s">
        <v>169</v>
      </c>
      <c r="B173" s="25">
        <f t="shared" ref="B173:H173" si="47">B45-B172</f>
        <v>2362398.0900000003</v>
      </c>
      <c r="C173" s="25">
        <f t="shared" si="47"/>
        <v>-1996809.09</v>
      </c>
      <c r="D173" s="25">
        <f t="shared" si="47"/>
        <v>-40812.76</v>
      </c>
      <c r="E173" s="25">
        <f t="shared" si="47"/>
        <v>36196.990000000005</v>
      </c>
      <c r="F173" s="25">
        <f t="shared" si="47"/>
        <v>22750.469999999987</v>
      </c>
      <c r="G173" s="25">
        <f t="shared" si="47"/>
        <v>-50013.240000000005</v>
      </c>
      <c r="H173" s="25">
        <f t="shared" si="47"/>
        <v>-317.56000000000495</v>
      </c>
      <c r="I173" s="25">
        <f>B173+C173+D173+E173+F173+G173+H173</f>
        <v>333392.9000000002</v>
      </c>
    </row>
    <row r="174" spans="1:9" x14ac:dyDescent="0.45">
      <c r="A174" s="7" t="s">
        <v>170</v>
      </c>
      <c r="B174" s="24"/>
      <c r="C174" s="24"/>
      <c r="D174" s="24"/>
      <c r="E174" s="24"/>
      <c r="F174" s="24"/>
      <c r="G174" s="24"/>
      <c r="H174" s="24"/>
      <c r="I174" s="26"/>
    </row>
    <row r="175" spans="1:9" x14ac:dyDescent="0.45">
      <c r="A175" s="8" t="s">
        <v>171</v>
      </c>
      <c r="B175" s="24"/>
      <c r="C175" s="24"/>
      <c r="D175" s="24"/>
      <c r="E175" s="24"/>
      <c r="F175" s="24"/>
      <c r="G175" s="24"/>
      <c r="H175" s="24">
        <v>1500</v>
      </c>
      <c r="I175" s="24">
        <f>B175+C175+D175+E175+F175+G175+H175</f>
        <v>1500</v>
      </c>
    </row>
    <row r="176" spans="1:9" x14ac:dyDescent="0.45">
      <c r="A176" s="11" t="s">
        <v>172</v>
      </c>
      <c r="B176" s="25">
        <f t="shared" ref="B176:H176" si="48">B174+B175</f>
        <v>0</v>
      </c>
      <c r="C176" s="25">
        <f t="shared" si="48"/>
        <v>0</v>
      </c>
      <c r="D176" s="25">
        <f t="shared" si="48"/>
        <v>0</v>
      </c>
      <c r="E176" s="25">
        <f t="shared" si="48"/>
        <v>0</v>
      </c>
      <c r="F176" s="25">
        <f t="shared" si="48"/>
        <v>0</v>
      </c>
      <c r="G176" s="25">
        <f t="shared" si="48"/>
        <v>0</v>
      </c>
      <c r="H176" s="25">
        <f t="shared" si="48"/>
        <v>1500</v>
      </c>
      <c r="I176" s="25">
        <f>B176+C176+D176+E176+F176+G176+H176</f>
        <v>1500</v>
      </c>
    </row>
    <row r="177" spans="1:9" x14ac:dyDescent="0.45">
      <c r="A177" s="11" t="s">
        <v>173</v>
      </c>
      <c r="B177" s="25">
        <f t="shared" ref="B177:H177" si="49">0-B176</f>
        <v>0</v>
      </c>
      <c r="C177" s="25">
        <f t="shared" si="49"/>
        <v>0</v>
      </c>
      <c r="D177" s="25">
        <f t="shared" si="49"/>
        <v>0</v>
      </c>
      <c r="E177" s="25">
        <f t="shared" si="49"/>
        <v>0</v>
      </c>
      <c r="F177" s="25">
        <f t="shared" si="49"/>
        <v>0</v>
      </c>
      <c r="G177" s="25">
        <f t="shared" si="49"/>
        <v>0</v>
      </c>
      <c r="H177" s="25">
        <f t="shared" si="49"/>
        <v>-1500</v>
      </c>
      <c r="I177" s="25">
        <f>B177+C177+D177+E177+F177+G177+H177</f>
        <v>-1500</v>
      </c>
    </row>
    <row r="178" spans="1:9" x14ac:dyDescent="0.45">
      <c r="A178" s="11" t="s">
        <v>174</v>
      </c>
      <c r="B178" s="25">
        <f t="shared" ref="B178:H178" si="50">B173+B177</f>
        <v>2362398.0900000003</v>
      </c>
      <c r="C178" s="25">
        <f t="shared" si="50"/>
        <v>-1996809.09</v>
      </c>
      <c r="D178" s="25">
        <f t="shared" si="50"/>
        <v>-40812.76</v>
      </c>
      <c r="E178" s="25">
        <f t="shared" si="50"/>
        <v>36196.990000000005</v>
      </c>
      <c r="F178" s="25">
        <f t="shared" si="50"/>
        <v>22750.469999999987</v>
      </c>
      <c r="G178" s="25">
        <f t="shared" si="50"/>
        <v>-50013.240000000005</v>
      </c>
      <c r="H178" s="25">
        <f t="shared" si="50"/>
        <v>-1817.5600000000049</v>
      </c>
      <c r="I178" s="25">
        <f>B178+C178+D178+E178+F178+G178+H178</f>
        <v>331892.9000000002</v>
      </c>
    </row>
  </sheetData>
  <mergeCells count="3">
    <mergeCell ref="A1:I1"/>
    <mergeCell ref="A2:I2"/>
    <mergeCell ref="A3:I3"/>
  </mergeCells>
  <pageMargins left="0.2" right="0.2" top="0.25" bottom="0.2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5F965-3FE3-4813-9706-59DE24C77327}">
  <dimension ref="A1:E56"/>
  <sheetViews>
    <sheetView workbookViewId="0">
      <selection activeCell="C53" sqref="C53"/>
    </sheetView>
  </sheetViews>
  <sheetFormatPr defaultColWidth="11.28515625" defaultRowHeight="15.9" x14ac:dyDescent="0.45"/>
  <cols>
    <col min="1" max="1" width="39.2109375" style="18" customWidth="1"/>
    <col min="2" max="2" width="16.140625" style="18" customWidth="1"/>
    <col min="3" max="3" width="46.42578125" bestFit="1" customWidth="1"/>
  </cols>
  <sheetData>
    <row r="1" spans="1:2" x14ac:dyDescent="0.45">
      <c r="A1" s="4" t="s">
        <v>0</v>
      </c>
      <c r="B1" s="3"/>
    </row>
    <row r="2" spans="1:2" x14ac:dyDescent="0.45">
      <c r="A2" s="2" t="s">
        <v>996</v>
      </c>
      <c r="B2" s="3"/>
    </row>
    <row r="3" spans="1:2" x14ac:dyDescent="0.45">
      <c r="A3" s="1" t="s">
        <v>997</v>
      </c>
      <c r="B3" s="3"/>
    </row>
    <row r="5" spans="1:2" x14ac:dyDescent="0.45">
      <c r="A5" s="19" t="s">
        <v>175</v>
      </c>
      <c r="B5" s="19" t="s">
        <v>183</v>
      </c>
    </row>
    <row r="6" spans="1:2" x14ac:dyDescent="0.45">
      <c r="A6" s="7" t="s">
        <v>998</v>
      </c>
    </row>
    <row r="7" spans="1:2" x14ac:dyDescent="0.45">
      <c r="A7" s="8" t="s">
        <v>999</v>
      </c>
    </row>
    <row r="8" spans="1:2" x14ac:dyDescent="0.45">
      <c r="A8" s="9" t="s">
        <v>1000</v>
      </c>
    </row>
    <row r="9" spans="1:2" x14ac:dyDescent="0.45">
      <c r="A9" s="12" t="s">
        <v>218</v>
      </c>
      <c r="B9" s="21">
        <v>56303.51</v>
      </c>
    </row>
    <row r="10" spans="1:2" x14ac:dyDescent="0.45">
      <c r="A10" s="12" t="s">
        <v>199</v>
      </c>
      <c r="B10" s="21">
        <v>200807.34</v>
      </c>
    </row>
    <row r="11" spans="1:2" x14ac:dyDescent="0.45">
      <c r="A11" s="13" t="s">
        <v>1001</v>
      </c>
      <c r="B11" s="21">
        <v>821833.95</v>
      </c>
    </row>
    <row r="12" spans="1:2" x14ac:dyDescent="0.45">
      <c r="A12" s="13" t="s">
        <v>1002</v>
      </c>
      <c r="B12" s="21">
        <v>23934.29</v>
      </c>
    </row>
    <row r="13" spans="1:2" x14ac:dyDescent="0.45">
      <c r="A13" s="13" t="s">
        <v>1003</v>
      </c>
      <c r="B13" s="21">
        <v>319984.65999999997</v>
      </c>
    </row>
    <row r="14" spans="1:2" x14ac:dyDescent="0.45">
      <c r="A14" s="14" t="s">
        <v>1004</v>
      </c>
      <c r="B14" s="22">
        <f>B10+B11+B12+B13</f>
        <v>1366560.24</v>
      </c>
    </row>
    <row r="15" spans="1:2" x14ac:dyDescent="0.45">
      <c r="A15" s="12" t="s">
        <v>216</v>
      </c>
      <c r="B15" s="21">
        <v>38760.61</v>
      </c>
    </row>
    <row r="16" spans="1:2" x14ac:dyDescent="0.45">
      <c r="A16" s="15" t="s">
        <v>1005</v>
      </c>
      <c r="B16" s="22">
        <f>B8+B9+B14+B15</f>
        <v>1461624.36</v>
      </c>
    </row>
    <row r="17" spans="1:2" x14ac:dyDescent="0.45">
      <c r="A17" s="10" t="s">
        <v>1006</v>
      </c>
      <c r="B17" s="22">
        <f>B7+B16</f>
        <v>1461624.36</v>
      </c>
    </row>
    <row r="18" spans="1:2" x14ac:dyDescent="0.45">
      <c r="A18" s="11" t="s">
        <v>1007</v>
      </c>
      <c r="B18" s="22">
        <f>B6+B17</f>
        <v>1461624.36</v>
      </c>
    </row>
    <row r="19" spans="1:2" x14ac:dyDescent="0.45">
      <c r="A19" s="7" t="s">
        <v>1008</v>
      </c>
    </row>
    <row r="20" spans="1:2" x14ac:dyDescent="0.45">
      <c r="A20" s="8" t="s">
        <v>1009</v>
      </c>
    </row>
    <row r="21" spans="1:2" x14ac:dyDescent="0.45">
      <c r="A21" s="9" t="s">
        <v>1010</v>
      </c>
    </row>
    <row r="22" spans="1:2" x14ac:dyDescent="0.45">
      <c r="A22" s="12" t="s">
        <v>1011</v>
      </c>
    </row>
    <row r="23" spans="1:2" x14ac:dyDescent="0.45">
      <c r="A23" s="13" t="s">
        <v>1012</v>
      </c>
      <c r="B23" s="23">
        <v>0</v>
      </c>
    </row>
    <row r="24" spans="1:2" x14ac:dyDescent="0.45">
      <c r="A24" s="14" t="s">
        <v>1013</v>
      </c>
      <c r="B24" s="22">
        <f>B22+B23</f>
        <v>0</v>
      </c>
    </row>
    <row r="25" spans="1:2" x14ac:dyDescent="0.45">
      <c r="A25" s="12" t="s">
        <v>1014</v>
      </c>
    </row>
    <row r="26" spans="1:2" x14ac:dyDescent="0.45">
      <c r="A26" s="13" t="s">
        <v>1015</v>
      </c>
      <c r="B26" s="21">
        <v>9500</v>
      </c>
    </row>
    <row r="27" spans="1:2" x14ac:dyDescent="0.45">
      <c r="A27" s="13" t="s">
        <v>1016</v>
      </c>
      <c r="B27" s="21">
        <v>825</v>
      </c>
    </row>
    <row r="28" spans="1:2" x14ac:dyDescent="0.45">
      <c r="A28" s="13" t="s">
        <v>1017</v>
      </c>
      <c r="B28" s="20"/>
    </row>
    <row r="29" spans="1:2" x14ac:dyDescent="0.45">
      <c r="A29" s="16" t="s">
        <v>1018</v>
      </c>
      <c r="B29" s="21">
        <v>849.91</v>
      </c>
    </row>
    <row r="30" spans="1:2" x14ac:dyDescent="0.45">
      <c r="A30" s="16" t="s">
        <v>1019</v>
      </c>
      <c r="B30" s="21">
        <v>4.09</v>
      </c>
    </row>
    <row r="31" spans="1:2" x14ac:dyDescent="0.45">
      <c r="A31" s="17" t="s">
        <v>1020</v>
      </c>
      <c r="B31" s="22">
        <f>B28+B29+B30</f>
        <v>854</v>
      </c>
    </row>
    <row r="32" spans="1:2" x14ac:dyDescent="0.45">
      <c r="A32" s="14" t="s">
        <v>1021</v>
      </c>
      <c r="B32" s="22">
        <f>B25+B26+B27+B31</f>
        <v>11179</v>
      </c>
    </row>
    <row r="33" spans="1:3" x14ac:dyDescent="0.45">
      <c r="A33" s="15" t="s">
        <v>1022</v>
      </c>
      <c r="B33" s="22">
        <f>B21+B24+B32</f>
        <v>11179</v>
      </c>
    </row>
    <row r="34" spans="1:3" x14ac:dyDescent="0.45">
      <c r="A34" s="9" t="s">
        <v>1023</v>
      </c>
    </row>
    <row r="35" spans="1:3" x14ac:dyDescent="0.45">
      <c r="A35" s="12" t="s">
        <v>1024</v>
      </c>
      <c r="B35" s="20"/>
    </row>
    <row r="36" spans="1:3" x14ac:dyDescent="0.45">
      <c r="A36" s="13" t="s">
        <v>1025</v>
      </c>
      <c r="B36" s="20"/>
    </row>
    <row r="37" spans="1:3" x14ac:dyDescent="0.45">
      <c r="A37" s="16" t="s">
        <v>1026</v>
      </c>
      <c r="B37" s="21">
        <v>42220.81</v>
      </c>
      <c r="C37" s="31" t="s">
        <v>1045</v>
      </c>
    </row>
    <row r="38" spans="1:3" x14ac:dyDescent="0.45">
      <c r="A38" s="16" t="s">
        <v>1027</v>
      </c>
      <c r="B38" s="21">
        <v>9438.6200000000008</v>
      </c>
      <c r="C38" s="31" t="s">
        <v>1046</v>
      </c>
    </row>
    <row r="39" spans="1:3" x14ac:dyDescent="0.45">
      <c r="A39" s="17" t="s">
        <v>1028</v>
      </c>
      <c r="B39" s="22">
        <f>B36+B37+B38</f>
        <v>51659.43</v>
      </c>
    </row>
    <row r="40" spans="1:3" x14ac:dyDescent="0.45">
      <c r="A40" s="13" t="s">
        <v>1029</v>
      </c>
      <c r="B40" s="20"/>
      <c r="C40" s="31"/>
    </row>
    <row r="41" spans="1:3" x14ac:dyDescent="0.45">
      <c r="A41" s="16" t="s">
        <v>1030</v>
      </c>
      <c r="B41" s="21">
        <v>13420.65</v>
      </c>
      <c r="C41" s="31" t="s">
        <v>1047</v>
      </c>
    </row>
    <row r="42" spans="1:3" x14ac:dyDescent="0.45">
      <c r="A42" s="16" t="s">
        <v>1031</v>
      </c>
      <c r="B42" s="21">
        <v>250414.16</v>
      </c>
      <c r="C42" s="31" t="s">
        <v>1048</v>
      </c>
    </row>
    <row r="43" spans="1:3" x14ac:dyDescent="0.45">
      <c r="A43" s="16" t="s">
        <v>1032</v>
      </c>
      <c r="B43" s="21">
        <v>502226.13</v>
      </c>
      <c r="C43" s="31" t="s">
        <v>1049</v>
      </c>
    </row>
    <row r="44" spans="1:3" x14ac:dyDescent="0.45">
      <c r="A44" s="17" t="s">
        <v>1033</v>
      </c>
      <c r="B44" s="22">
        <f>B40+B41+B42+B43</f>
        <v>766060.94</v>
      </c>
    </row>
    <row r="45" spans="1:3" hidden="1" x14ac:dyDescent="0.45">
      <c r="A45" s="13" t="s">
        <v>1034</v>
      </c>
      <c r="B45" s="23">
        <v>0</v>
      </c>
    </row>
    <row r="46" spans="1:3" x14ac:dyDescent="0.45">
      <c r="A46" s="14" t="s">
        <v>1035</v>
      </c>
      <c r="B46" s="22">
        <f>B35+B39+B44+B45</f>
        <v>817720.37</v>
      </c>
    </row>
    <row r="47" spans="1:3" x14ac:dyDescent="0.45">
      <c r="A47" s="15" t="s">
        <v>1036</v>
      </c>
      <c r="B47" s="22">
        <f>B34+B46</f>
        <v>817720.37</v>
      </c>
    </row>
    <row r="48" spans="1:3" x14ac:dyDescent="0.45">
      <c r="A48" s="10" t="s">
        <v>1037</v>
      </c>
      <c r="B48" s="22">
        <f>B20+B33+B47</f>
        <v>828899.37</v>
      </c>
    </row>
    <row r="49" spans="1:5" x14ac:dyDescent="0.45">
      <c r="A49" s="8" t="s">
        <v>1038</v>
      </c>
    </row>
    <row r="50" spans="1:5" hidden="1" x14ac:dyDescent="0.45">
      <c r="A50" s="9" t="s">
        <v>1039</v>
      </c>
      <c r="B50" s="23">
        <v>0</v>
      </c>
    </row>
    <row r="51" spans="1:5" hidden="1" x14ac:dyDescent="0.45">
      <c r="A51" s="9" t="s">
        <v>1040</v>
      </c>
      <c r="B51" s="23">
        <v>0</v>
      </c>
    </row>
    <row r="52" spans="1:5" x14ac:dyDescent="0.45">
      <c r="A52" s="9" t="s">
        <v>1041</v>
      </c>
      <c r="B52" s="71">
        <v>272489.40000000002</v>
      </c>
    </row>
    <row r="53" spans="1:5" x14ac:dyDescent="0.45">
      <c r="A53" s="9" t="s">
        <v>1042</v>
      </c>
      <c r="B53" s="71">
        <v>28342.690000000031</v>
      </c>
    </row>
    <row r="54" spans="1:5" x14ac:dyDescent="0.45">
      <c r="A54" s="9" t="s">
        <v>174</v>
      </c>
      <c r="B54" s="71">
        <v>331892.90000000002</v>
      </c>
    </row>
    <row r="55" spans="1:5" x14ac:dyDescent="0.45">
      <c r="A55" s="10" t="s">
        <v>1043</v>
      </c>
      <c r="B55" s="22">
        <f>B49+B50+B51+B52+B53+B54</f>
        <v>632724.99000000011</v>
      </c>
    </row>
    <row r="56" spans="1:5" x14ac:dyDescent="0.45">
      <c r="A56" s="11" t="s">
        <v>1044</v>
      </c>
      <c r="B56" s="22">
        <f>B19+B48+B55</f>
        <v>1461624.36</v>
      </c>
      <c r="E56" s="6"/>
    </row>
  </sheetData>
  <mergeCells count="3">
    <mergeCell ref="A1:B1"/>
    <mergeCell ref="A2:B2"/>
    <mergeCell ref="A3:B3"/>
  </mergeCells>
  <pageMargins left="0.2" right="0.2" top="0.25" bottom="0.25" header="0.3" footer="0.3"/>
  <pageSetup scale="9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6D72E-E13E-4ACC-8F86-9A3047AD728B}">
  <dimension ref="A1:I334"/>
  <sheetViews>
    <sheetView topLeftCell="B324" workbookViewId="0">
      <selection activeCell="F339" sqref="F339"/>
    </sheetView>
  </sheetViews>
  <sheetFormatPr defaultColWidth="11.28515625" defaultRowHeight="15.9" x14ac:dyDescent="0.45"/>
  <cols>
    <col min="1" max="1" width="43.35546875" style="18" customWidth="1"/>
    <col min="2" max="2" width="12.85546875" style="18" bestFit="1" customWidth="1"/>
    <col min="3" max="3" width="12.78515625" style="18" bestFit="1" customWidth="1"/>
    <col min="4" max="4" width="7.5" style="18" customWidth="1"/>
    <col min="5" max="5" width="24" style="18" bestFit="1" customWidth="1"/>
    <col min="6" max="6" width="36.2109375" style="18" bestFit="1" customWidth="1"/>
    <col min="7" max="7" width="19.78515625" style="18" bestFit="1" customWidth="1"/>
    <col min="8" max="8" width="7.640625" style="18" bestFit="1" customWidth="1"/>
    <col min="9" max="9" width="6.85546875" style="18" bestFit="1" customWidth="1"/>
  </cols>
  <sheetData>
    <row r="1" spans="1:9" x14ac:dyDescent="0.45">
      <c r="A1" s="4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45">
      <c r="A2" s="2" t="s">
        <v>184</v>
      </c>
      <c r="B2" s="3"/>
      <c r="C2" s="3"/>
      <c r="D2" s="3"/>
      <c r="E2" s="3"/>
      <c r="F2" s="3"/>
      <c r="G2" s="3"/>
      <c r="H2" s="3"/>
      <c r="I2" s="3"/>
    </row>
    <row r="3" spans="1:9" x14ac:dyDescent="0.45">
      <c r="A3" s="1" t="s">
        <v>185</v>
      </c>
      <c r="B3" s="3"/>
      <c r="C3" s="3"/>
      <c r="D3" s="3"/>
      <c r="E3" s="3"/>
      <c r="F3" s="3"/>
      <c r="G3" s="3"/>
      <c r="H3" s="3"/>
      <c r="I3" s="3"/>
    </row>
    <row r="5" spans="1:9" x14ac:dyDescent="0.45">
      <c r="A5" s="19" t="s">
        <v>175</v>
      </c>
      <c r="B5" s="19" t="s">
        <v>186</v>
      </c>
      <c r="C5" s="19" t="s">
        <v>187</v>
      </c>
      <c r="D5" s="19" t="s">
        <v>188</v>
      </c>
      <c r="E5" s="19" t="s">
        <v>189</v>
      </c>
      <c r="F5" s="19" t="s">
        <v>190</v>
      </c>
      <c r="G5" s="19" t="s">
        <v>191</v>
      </c>
      <c r="H5" s="19" t="s">
        <v>192</v>
      </c>
      <c r="I5" s="19" t="s">
        <v>193</v>
      </c>
    </row>
    <row r="6" spans="1:9" x14ac:dyDescent="0.45">
      <c r="A6" s="7" t="s">
        <v>194</v>
      </c>
    </row>
    <row r="7" spans="1:9" x14ac:dyDescent="0.45">
      <c r="A7" s="7" t="s">
        <v>3</v>
      </c>
    </row>
    <row r="8" spans="1:9" x14ac:dyDescent="0.45">
      <c r="A8" s="7" t="s">
        <v>11</v>
      </c>
    </row>
    <row r="9" spans="1:9" x14ac:dyDescent="0.45">
      <c r="A9" s="7" t="s">
        <v>14</v>
      </c>
    </row>
    <row r="10" spans="1:9" x14ac:dyDescent="0.45">
      <c r="B10" s="20" t="s">
        <v>195</v>
      </c>
      <c r="C10" s="20" t="s">
        <v>196</v>
      </c>
      <c r="D10" s="20" t="s">
        <v>175</v>
      </c>
      <c r="E10" s="20" t="s">
        <v>197</v>
      </c>
      <c r="F10" s="20" t="s">
        <v>198</v>
      </c>
      <c r="G10" s="20" t="s">
        <v>199</v>
      </c>
      <c r="H10" s="21">
        <v>13.51</v>
      </c>
      <c r="I10" s="21">
        <v>13.51</v>
      </c>
    </row>
    <row r="11" spans="1:9" x14ac:dyDescent="0.45">
      <c r="A11" s="14" t="s">
        <v>200</v>
      </c>
      <c r="H11" s="22">
        <f>H10</f>
        <v>13.51</v>
      </c>
    </row>
    <row r="12" spans="1:9" x14ac:dyDescent="0.45">
      <c r="A12" s="15" t="s">
        <v>201</v>
      </c>
      <c r="H12" s="22">
        <f>H11</f>
        <v>13.51</v>
      </c>
    </row>
    <row r="13" spans="1:9" x14ac:dyDescent="0.45">
      <c r="A13" s="7" t="s">
        <v>20</v>
      </c>
    </row>
    <row r="14" spans="1:9" x14ac:dyDescent="0.45">
      <c r="A14" s="7" t="s">
        <v>21</v>
      </c>
    </row>
    <row r="15" spans="1:9" x14ac:dyDescent="0.45">
      <c r="B15" s="20" t="s">
        <v>202</v>
      </c>
      <c r="C15" s="20" t="s">
        <v>196</v>
      </c>
      <c r="D15" s="20" t="s">
        <v>175</v>
      </c>
      <c r="E15" s="20" t="s">
        <v>175</v>
      </c>
      <c r="F15" s="20" t="s">
        <v>203</v>
      </c>
      <c r="G15" s="20" t="s">
        <v>199</v>
      </c>
      <c r="H15" s="21">
        <v>302.5</v>
      </c>
      <c r="I15" s="21">
        <v>302.5</v>
      </c>
    </row>
    <row r="16" spans="1:9" x14ac:dyDescent="0.45">
      <c r="B16" s="20" t="s">
        <v>202</v>
      </c>
      <c r="C16" s="20" t="s">
        <v>196</v>
      </c>
      <c r="D16" s="20" t="s">
        <v>175</v>
      </c>
      <c r="E16" s="20" t="s">
        <v>175</v>
      </c>
      <c r="F16" s="20" t="s">
        <v>204</v>
      </c>
      <c r="G16" s="20" t="s">
        <v>199</v>
      </c>
      <c r="H16" s="21">
        <v>20</v>
      </c>
      <c r="I16" s="21">
        <v>322.5</v>
      </c>
    </row>
    <row r="17" spans="1:9" x14ac:dyDescent="0.45">
      <c r="B17" s="20" t="s">
        <v>202</v>
      </c>
      <c r="C17" s="20" t="s">
        <v>196</v>
      </c>
      <c r="D17" s="20" t="s">
        <v>175</v>
      </c>
      <c r="E17" s="20" t="s">
        <v>175</v>
      </c>
      <c r="F17" s="20" t="s">
        <v>204</v>
      </c>
      <c r="G17" s="20" t="s">
        <v>199</v>
      </c>
      <c r="H17" s="21">
        <v>2</v>
      </c>
      <c r="I17" s="21">
        <v>324.5</v>
      </c>
    </row>
    <row r="18" spans="1:9" x14ac:dyDescent="0.45">
      <c r="B18" s="20" t="s">
        <v>202</v>
      </c>
      <c r="C18" s="20" t="s">
        <v>196</v>
      </c>
      <c r="D18" s="20" t="s">
        <v>175</v>
      </c>
      <c r="E18" s="20" t="s">
        <v>175</v>
      </c>
      <c r="F18" s="20" t="s">
        <v>205</v>
      </c>
      <c r="G18" s="20" t="s">
        <v>199</v>
      </c>
      <c r="H18" s="21">
        <v>302.5</v>
      </c>
      <c r="I18" s="21">
        <v>627</v>
      </c>
    </row>
    <row r="19" spans="1:9" x14ac:dyDescent="0.45">
      <c r="B19" s="20" t="s">
        <v>202</v>
      </c>
      <c r="C19" s="20" t="s">
        <v>196</v>
      </c>
      <c r="D19" s="20" t="s">
        <v>175</v>
      </c>
      <c r="E19" s="20" t="s">
        <v>175</v>
      </c>
      <c r="F19" s="20" t="s">
        <v>206</v>
      </c>
      <c r="G19" s="20" t="s">
        <v>199</v>
      </c>
      <c r="H19" s="21">
        <v>16</v>
      </c>
      <c r="I19" s="21">
        <v>643</v>
      </c>
    </row>
    <row r="20" spans="1:9" x14ac:dyDescent="0.45">
      <c r="B20" s="20" t="s">
        <v>202</v>
      </c>
      <c r="C20" s="20" t="s">
        <v>196</v>
      </c>
      <c r="D20" s="20" t="s">
        <v>175</v>
      </c>
      <c r="E20" s="20" t="s">
        <v>175</v>
      </c>
      <c r="F20" s="20" t="s">
        <v>205</v>
      </c>
      <c r="G20" s="20" t="s">
        <v>199</v>
      </c>
      <c r="H20" s="21">
        <v>302.5</v>
      </c>
      <c r="I20" s="21">
        <v>945.5</v>
      </c>
    </row>
    <row r="21" spans="1:9" x14ac:dyDescent="0.45">
      <c r="B21" s="20" t="s">
        <v>202</v>
      </c>
      <c r="C21" s="20" t="s">
        <v>196</v>
      </c>
      <c r="D21" s="20" t="s">
        <v>175</v>
      </c>
      <c r="E21" s="20" t="s">
        <v>175</v>
      </c>
      <c r="F21" s="20" t="s">
        <v>206</v>
      </c>
      <c r="G21" s="20" t="s">
        <v>199</v>
      </c>
      <c r="H21" s="21">
        <v>2</v>
      </c>
      <c r="I21" s="21">
        <v>947.5</v>
      </c>
    </row>
    <row r="22" spans="1:9" x14ac:dyDescent="0.45">
      <c r="A22" s="14" t="s">
        <v>207</v>
      </c>
      <c r="H22" s="22">
        <f>H15+H16+H17+H18+H19+H20+H21</f>
        <v>947.5</v>
      </c>
    </row>
    <row r="23" spans="1:9" x14ac:dyDescent="0.45">
      <c r="A23" s="7" t="s">
        <v>23</v>
      </c>
    </row>
    <row r="24" spans="1:9" x14ac:dyDescent="0.45">
      <c r="B24" s="20" t="s">
        <v>202</v>
      </c>
      <c r="C24" s="20" t="s">
        <v>196</v>
      </c>
      <c r="D24" s="20" t="s">
        <v>175</v>
      </c>
      <c r="E24" s="20" t="s">
        <v>175</v>
      </c>
      <c r="F24" s="20" t="s">
        <v>175</v>
      </c>
      <c r="G24" s="20" t="s">
        <v>199</v>
      </c>
      <c r="H24" s="21">
        <v>275.95999999999998</v>
      </c>
      <c r="I24" s="21">
        <v>275.95999999999998</v>
      </c>
    </row>
    <row r="25" spans="1:9" x14ac:dyDescent="0.45">
      <c r="A25" s="14" t="s">
        <v>208</v>
      </c>
      <c r="H25" s="22">
        <f>H24</f>
        <v>275.95999999999998</v>
      </c>
    </row>
    <row r="26" spans="1:9" x14ac:dyDescent="0.45">
      <c r="A26" s="7" t="s">
        <v>26</v>
      </c>
    </row>
    <row r="27" spans="1:9" x14ac:dyDescent="0.45">
      <c r="B27" s="20" t="s">
        <v>202</v>
      </c>
      <c r="C27" s="20" t="s">
        <v>196</v>
      </c>
      <c r="D27" s="20" t="s">
        <v>175</v>
      </c>
      <c r="E27" s="20" t="s">
        <v>175</v>
      </c>
      <c r="F27" s="20" t="s">
        <v>209</v>
      </c>
      <c r="G27" s="20" t="s">
        <v>199</v>
      </c>
      <c r="H27" s="21">
        <v>13.5</v>
      </c>
      <c r="I27" s="21">
        <v>13.5</v>
      </c>
    </row>
    <row r="28" spans="1:9" x14ac:dyDescent="0.45">
      <c r="B28" s="20" t="s">
        <v>202</v>
      </c>
      <c r="C28" s="20" t="s">
        <v>196</v>
      </c>
      <c r="D28" s="20" t="s">
        <v>175</v>
      </c>
      <c r="E28" s="20" t="s">
        <v>175</v>
      </c>
      <c r="F28" s="20" t="s">
        <v>210</v>
      </c>
      <c r="G28" s="20" t="s">
        <v>199</v>
      </c>
      <c r="H28" s="21">
        <v>13.5</v>
      </c>
      <c r="I28" s="21">
        <v>27</v>
      </c>
    </row>
    <row r="29" spans="1:9" x14ac:dyDescent="0.45">
      <c r="B29" s="20" t="s">
        <v>202</v>
      </c>
      <c r="C29" s="20" t="s">
        <v>196</v>
      </c>
      <c r="D29" s="20" t="s">
        <v>175</v>
      </c>
      <c r="E29" s="20" t="s">
        <v>175</v>
      </c>
      <c r="F29" s="20" t="s">
        <v>210</v>
      </c>
      <c r="G29" s="20" t="s">
        <v>199</v>
      </c>
      <c r="H29" s="21">
        <v>13.5</v>
      </c>
      <c r="I29" s="21">
        <v>40.5</v>
      </c>
    </row>
    <row r="30" spans="1:9" x14ac:dyDescent="0.45">
      <c r="A30" s="14" t="s">
        <v>211</v>
      </c>
      <c r="H30" s="22">
        <f>H27+H28+H29</f>
        <v>40.5</v>
      </c>
    </row>
    <row r="31" spans="1:9" x14ac:dyDescent="0.45">
      <c r="A31" s="15" t="s">
        <v>212</v>
      </c>
      <c r="H31" s="22">
        <f>H22+H25+H30</f>
        <v>1263.96</v>
      </c>
    </row>
    <row r="32" spans="1:9" x14ac:dyDescent="0.45">
      <c r="A32" s="7" t="s">
        <v>28</v>
      </c>
    </row>
    <row r="33" spans="1:9" x14ac:dyDescent="0.45">
      <c r="A33" s="7" t="s">
        <v>29</v>
      </c>
    </row>
    <row r="34" spans="1:9" x14ac:dyDescent="0.45">
      <c r="B34" s="20" t="s">
        <v>213</v>
      </c>
      <c r="C34" s="20" t="s">
        <v>196</v>
      </c>
      <c r="D34" s="20" t="s">
        <v>175</v>
      </c>
      <c r="E34" s="20" t="s">
        <v>214</v>
      </c>
      <c r="F34" s="20" t="s">
        <v>215</v>
      </c>
      <c r="G34" s="20" t="s">
        <v>216</v>
      </c>
      <c r="H34" s="21">
        <v>101.76</v>
      </c>
      <c r="I34" s="21">
        <v>101.76</v>
      </c>
    </row>
    <row r="35" spans="1:9" x14ac:dyDescent="0.45">
      <c r="B35" s="20" t="s">
        <v>213</v>
      </c>
      <c r="C35" s="20" t="s">
        <v>196</v>
      </c>
      <c r="D35" s="20" t="s">
        <v>175</v>
      </c>
      <c r="E35" s="20" t="s">
        <v>175</v>
      </c>
      <c r="F35" s="20" t="s">
        <v>175</v>
      </c>
      <c r="G35" s="20" t="s">
        <v>199</v>
      </c>
      <c r="H35" s="21">
        <v>4408.99</v>
      </c>
      <c r="I35" s="21">
        <v>4510.75</v>
      </c>
    </row>
    <row r="36" spans="1:9" x14ac:dyDescent="0.45">
      <c r="B36" s="20" t="s">
        <v>213</v>
      </c>
      <c r="C36" s="20" t="s">
        <v>196</v>
      </c>
      <c r="D36" s="20" t="s">
        <v>217</v>
      </c>
      <c r="E36" s="20" t="s">
        <v>175</v>
      </c>
      <c r="F36" s="20" t="s">
        <v>175</v>
      </c>
      <c r="G36" s="20" t="s">
        <v>218</v>
      </c>
      <c r="H36" s="21">
        <v>155</v>
      </c>
      <c r="I36" s="21">
        <v>4665.75</v>
      </c>
    </row>
    <row r="37" spans="1:9" x14ac:dyDescent="0.45">
      <c r="A37" s="14" t="s">
        <v>219</v>
      </c>
      <c r="H37" s="22">
        <f>H34+H35+H36</f>
        <v>4665.75</v>
      </c>
    </row>
    <row r="38" spans="1:9" x14ac:dyDescent="0.45">
      <c r="A38" s="7" t="s">
        <v>33</v>
      </c>
    </row>
    <row r="39" spans="1:9" x14ac:dyDescent="0.45">
      <c r="B39" s="20" t="s">
        <v>202</v>
      </c>
      <c r="C39" s="20" t="s">
        <v>196</v>
      </c>
      <c r="D39" s="20" t="s">
        <v>175</v>
      </c>
      <c r="E39" s="20" t="s">
        <v>175</v>
      </c>
      <c r="F39" s="20" t="s">
        <v>175</v>
      </c>
      <c r="G39" s="20" t="s">
        <v>199</v>
      </c>
      <c r="H39" s="21">
        <v>50</v>
      </c>
      <c r="I39" s="21">
        <v>50</v>
      </c>
    </row>
    <row r="40" spans="1:9" x14ac:dyDescent="0.45">
      <c r="A40" s="14" t="s">
        <v>220</v>
      </c>
      <c r="H40" s="22">
        <f>H39</f>
        <v>50</v>
      </c>
    </row>
    <row r="41" spans="1:9" x14ac:dyDescent="0.45">
      <c r="A41" s="15" t="s">
        <v>221</v>
      </c>
      <c r="H41" s="22">
        <f>H37+H40</f>
        <v>4715.75</v>
      </c>
    </row>
    <row r="42" spans="1:9" x14ac:dyDescent="0.45">
      <c r="A42" s="7" t="s">
        <v>35</v>
      </c>
    </row>
    <row r="43" spans="1:9" x14ac:dyDescent="0.45">
      <c r="A43" s="7" t="s">
        <v>36</v>
      </c>
    </row>
    <row r="44" spans="1:9" x14ac:dyDescent="0.45">
      <c r="B44" s="20" t="s">
        <v>202</v>
      </c>
      <c r="C44" s="20" t="s">
        <v>196</v>
      </c>
      <c r="D44" s="20" t="s">
        <v>175</v>
      </c>
      <c r="E44" s="20" t="s">
        <v>222</v>
      </c>
      <c r="F44" s="20" t="s">
        <v>223</v>
      </c>
      <c r="G44" s="20" t="s">
        <v>216</v>
      </c>
      <c r="H44" s="21">
        <v>10000</v>
      </c>
      <c r="I44" s="21">
        <v>10000</v>
      </c>
    </row>
    <row r="45" spans="1:9" x14ac:dyDescent="0.45">
      <c r="A45" s="14" t="s">
        <v>224</v>
      </c>
      <c r="H45" s="22">
        <f>H44</f>
        <v>10000</v>
      </c>
    </row>
    <row r="46" spans="1:9" ht="22.3" x14ac:dyDescent="0.45">
      <c r="A46" s="15" t="s">
        <v>225</v>
      </c>
      <c r="H46" s="22">
        <f>H45</f>
        <v>10000</v>
      </c>
    </row>
    <row r="47" spans="1:9" x14ac:dyDescent="0.45">
      <c r="A47" s="7" t="s">
        <v>39</v>
      </c>
    </row>
    <row r="48" spans="1:9" x14ac:dyDescent="0.45">
      <c r="B48" s="20" t="s">
        <v>195</v>
      </c>
      <c r="C48" s="20" t="s">
        <v>196</v>
      </c>
      <c r="D48" s="20" t="s">
        <v>175</v>
      </c>
      <c r="E48" s="20" t="s">
        <v>197</v>
      </c>
      <c r="F48" s="20" t="s">
        <v>226</v>
      </c>
      <c r="G48" s="20" t="s">
        <v>199</v>
      </c>
      <c r="H48" s="21">
        <v>33057.72</v>
      </c>
      <c r="I48" s="21">
        <v>33057.72</v>
      </c>
    </row>
    <row r="49" spans="1:9" x14ac:dyDescent="0.45">
      <c r="A49" s="15" t="s">
        <v>227</v>
      </c>
      <c r="H49" s="22">
        <f>H48</f>
        <v>33057.72</v>
      </c>
    </row>
    <row r="50" spans="1:9" x14ac:dyDescent="0.45">
      <c r="A50" s="7" t="s">
        <v>40</v>
      </c>
    </row>
    <row r="51" spans="1:9" x14ac:dyDescent="0.45">
      <c r="B51" s="20" t="s">
        <v>202</v>
      </c>
      <c r="C51" s="20" t="s">
        <v>196</v>
      </c>
      <c r="D51" s="20" t="s">
        <v>175</v>
      </c>
      <c r="E51" s="20" t="s">
        <v>175</v>
      </c>
      <c r="F51" s="20" t="s">
        <v>175</v>
      </c>
      <c r="G51" s="20" t="s">
        <v>199</v>
      </c>
      <c r="H51" s="21">
        <v>300</v>
      </c>
      <c r="I51" s="21">
        <v>300</v>
      </c>
    </row>
    <row r="52" spans="1:9" x14ac:dyDescent="0.45">
      <c r="B52" s="20" t="s">
        <v>202</v>
      </c>
      <c r="C52" s="20" t="s">
        <v>196</v>
      </c>
      <c r="D52" s="20" t="s">
        <v>175</v>
      </c>
      <c r="E52" s="20" t="s">
        <v>175</v>
      </c>
      <c r="F52" s="20" t="s">
        <v>175</v>
      </c>
      <c r="G52" s="20" t="s">
        <v>199</v>
      </c>
      <c r="H52" s="21">
        <v>150</v>
      </c>
      <c r="I52" s="21">
        <v>450</v>
      </c>
    </row>
    <row r="53" spans="1:9" x14ac:dyDescent="0.45">
      <c r="B53" s="20" t="s">
        <v>202</v>
      </c>
      <c r="C53" s="20" t="s">
        <v>196</v>
      </c>
      <c r="D53" s="20" t="s">
        <v>175</v>
      </c>
      <c r="E53" s="20" t="s">
        <v>175</v>
      </c>
      <c r="F53" s="20" t="s">
        <v>175</v>
      </c>
      <c r="G53" s="20" t="s">
        <v>199</v>
      </c>
      <c r="H53" s="21">
        <v>300</v>
      </c>
      <c r="I53" s="21">
        <v>750</v>
      </c>
    </row>
    <row r="54" spans="1:9" x14ac:dyDescent="0.45">
      <c r="B54" s="20" t="s">
        <v>202</v>
      </c>
      <c r="C54" s="20" t="s">
        <v>196</v>
      </c>
      <c r="D54" s="20" t="s">
        <v>175</v>
      </c>
      <c r="E54" s="20" t="s">
        <v>175</v>
      </c>
      <c r="F54" s="20" t="s">
        <v>175</v>
      </c>
      <c r="G54" s="20" t="s">
        <v>199</v>
      </c>
      <c r="H54" s="21">
        <v>200</v>
      </c>
      <c r="I54" s="21">
        <v>950</v>
      </c>
    </row>
    <row r="55" spans="1:9" x14ac:dyDescent="0.45">
      <c r="B55" s="20" t="s">
        <v>202</v>
      </c>
      <c r="C55" s="20" t="s">
        <v>196</v>
      </c>
      <c r="D55" s="20" t="s">
        <v>175</v>
      </c>
      <c r="E55" s="20" t="s">
        <v>175</v>
      </c>
      <c r="F55" s="20" t="s">
        <v>175</v>
      </c>
      <c r="G55" s="20" t="s">
        <v>199</v>
      </c>
      <c r="H55" s="21">
        <v>200</v>
      </c>
      <c r="I55" s="21">
        <v>1150</v>
      </c>
    </row>
    <row r="56" spans="1:9" x14ac:dyDescent="0.45">
      <c r="B56" s="20" t="s">
        <v>202</v>
      </c>
      <c r="C56" s="20" t="s">
        <v>196</v>
      </c>
      <c r="D56" s="20" t="s">
        <v>175</v>
      </c>
      <c r="E56" s="20" t="s">
        <v>175</v>
      </c>
      <c r="F56" s="20" t="s">
        <v>175</v>
      </c>
      <c r="G56" s="20" t="s">
        <v>199</v>
      </c>
      <c r="H56" s="21">
        <v>240</v>
      </c>
      <c r="I56" s="21">
        <v>1390</v>
      </c>
    </row>
    <row r="57" spans="1:9" x14ac:dyDescent="0.45">
      <c r="B57" s="20" t="s">
        <v>202</v>
      </c>
      <c r="C57" s="20" t="s">
        <v>196</v>
      </c>
      <c r="D57" s="20" t="s">
        <v>175</v>
      </c>
      <c r="E57" s="20" t="s">
        <v>175</v>
      </c>
      <c r="F57" s="20" t="s">
        <v>175</v>
      </c>
      <c r="G57" s="20" t="s">
        <v>199</v>
      </c>
      <c r="H57" s="21">
        <v>120</v>
      </c>
      <c r="I57" s="21">
        <v>1510</v>
      </c>
    </row>
    <row r="58" spans="1:9" x14ac:dyDescent="0.45">
      <c r="B58" s="20" t="s">
        <v>202</v>
      </c>
      <c r="C58" s="20" t="s">
        <v>196</v>
      </c>
      <c r="D58" s="20" t="s">
        <v>175</v>
      </c>
      <c r="E58" s="20" t="s">
        <v>175</v>
      </c>
      <c r="F58" s="20" t="s">
        <v>175</v>
      </c>
      <c r="G58" s="20" t="s">
        <v>199</v>
      </c>
      <c r="H58" s="21">
        <v>100</v>
      </c>
      <c r="I58" s="21">
        <v>1610</v>
      </c>
    </row>
    <row r="59" spans="1:9" x14ac:dyDescent="0.45">
      <c r="B59" s="20" t="s">
        <v>202</v>
      </c>
      <c r="C59" s="20" t="s">
        <v>196</v>
      </c>
      <c r="D59" s="20" t="s">
        <v>175</v>
      </c>
      <c r="E59" s="20" t="s">
        <v>175</v>
      </c>
      <c r="F59" s="20" t="s">
        <v>175</v>
      </c>
      <c r="G59" s="20" t="s">
        <v>199</v>
      </c>
      <c r="H59" s="21">
        <v>160</v>
      </c>
      <c r="I59" s="21">
        <v>1770</v>
      </c>
    </row>
    <row r="60" spans="1:9" x14ac:dyDescent="0.45">
      <c r="B60" s="20" t="s">
        <v>202</v>
      </c>
      <c r="C60" s="20" t="s">
        <v>196</v>
      </c>
      <c r="D60" s="20" t="s">
        <v>175</v>
      </c>
      <c r="E60" s="20" t="s">
        <v>175</v>
      </c>
      <c r="F60" s="20" t="s">
        <v>175</v>
      </c>
      <c r="G60" s="20" t="s">
        <v>199</v>
      </c>
      <c r="H60" s="21">
        <v>100</v>
      </c>
      <c r="I60" s="21">
        <v>1870</v>
      </c>
    </row>
    <row r="61" spans="1:9" x14ac:dyDescent="0.45">
      <c r="B61" s="20" t="s">
        <v>202</v>
      </c>
      <c r="C61" s="20" t="s">
        <v>196</v>
      </c>
      <c r="D61" s="20" t="s">
        <v>175</v>
      </c>
      <c r="E61" s="20" t="s">
        <v>175</v>
      </c>
      <c r="F61" s="20" t="s">
        <v>175</v>
      </c>
      <c r="G61" s="20" t="s">
        <v>199</v>
      </c>
      <c r="H61" s="21">
        <v>120</v>
      </c>
      <c r="I61" s="21">
        <v>1990</v>
      </c>
    </row>
    <row r="62" spans="1:9" x14ac:dyDescent="0.45">
      <c r="B62" s="20" t="s">
        <v>202</v>
      </c>
      <c r="C62" s="20" t="s">
        <v>196</v>
      </c>
      <c r="D62" s="20" t="s">
        <v>175</v>
      </c>
      <c r="E62" s="20" t="s">
        <v>175</v>
      </c>
      <c r="F62" s="20" t="s">
        <v>175</v>
      </c>
      <c r="G62" s="20" t="s">
        <v>199</v>
      </c>
      <c r="H62" s="21">
        <v>125</v>
      </c>
      <c r="I62" s="21">
        <v>2115</v>
      </c>
    </row>
    <row r="63" spans="1:9" x14ac:dyDescent="0.45">
      <c r="B63" s="20" t="s">
        <v>202</v>
      </c>
      <c r="C63" s="20" t="s">
        <v>196</v>
      </c>
      <c r="D63" s="20" t="s">
        <v>175</v>
      </c>
      <c r="E63" s="20" t="s">
        <v>175</v>
      </c>
      <c r="F63" s="20" t="s">
        <v>175</v>
      </c>
      <c r="G63" s="20" t="s">
        <v>199</v>
      </c>
      <c r="H63" s="21">
        <v>300</v>
      </c>
      <c r="I63" s="21">
        <v>2415</v>
      </c>
    </row>
    <row r="64" spans="1:9" x14ac:dyDescent="0.45">
      <c r="B64" s="20" t="s">
        <v>202</v>
      </c>
      <c r="C64" s="20" t="s">
        <v>196</v>
      </c>
      <c r="D64" s="20" t="s">
        <v>175</v>
      </c>
      <c r="E64" s="20" t="s">
        <v>175</v>
      </c>
      <c r="F64" s="20" t="s">
        <v>228</v>
      </c>
      <c r="G64" s="20" t="s">
        <v>199</v>
      </c>
      <c r="H64" s="21">
        <v>100</v>
      </c>
      <c r="I64" s="21">
        <v>2515</v>
      </c>
    </row>
    <row r="65" spans="1:9" x14ac:dyDescent="0.45">
      <c r="A65" s="15" t="s">
        <v>229</v>
      </c>
      <c r="H65" s="22">
        <f>H51+H52+H53+H54+H55+H56+H57+H58+H59+H60+H61+H62+H63+H64</f>
        <v>2515</v>
      </c>
    </row>
    <row r="66" spans="1:9" x14ac:dyDescent="0.45">
      <c r="A66" s="10" t="s">
        <v>230</v>
      </c>
      <c r="H66" s="22">
        <f>H12+H31+H41+H46+H49+H65</f>
        <v>51565.94</v>
      </c>
    </row>
    <row r="67" spans="1:9" x14ac:dyDescent="0.45">
      <c r="B67" s="20" t="s">
        <v>231</v>
      </c>
      <c r="H67" s="20"/>
    </row>
    <row r="68" spans="1:9" x14ac:dyDescent="0.45">
      <c r="A68" s="10" t="s">
        <v>42</v>
      </c>
      <c r="H68" s="22">
        <f>H66-H67</f>
        <v>51565.94</v>
      </c>
    </row>
    <row r="69" spans="1:9" x14ac:dyDescent="0.45">
      <c r="A69" s="7" t="s">
        <v>43</v>
      </c>
    </row>
    <row r="70" spans="1:9" x14ac:dyDescent="0.45">
      <c r="A70" s="7" t="s">
        <v>44</v>
      </c>
    </row>
    <row r="71" spans="1:9" x14ac:dyDescent="0.45">
      <c r="A71" s="7" t="s">
        <v>45</v>
      </c>
    </row>
    <row r="72" spans="1:9" x14ac:dyDescent="0.45">
      <c r="A72" s="7" t="s">
        <v>46</v>
      </c>
    </row>
    <row r="73" spans="1:9" x14ac:dyDescent="0.45">
      <c r="B73" s="20" t="s">
        <v>232</v>
      </c>
      <c r="C73" s="20" t="s">
        <v>233</v>
      </c>
      <c r="D73" s="20" t="s">
        <v>234</v>
      </c>
      <c r="E73" s="20" t="s">
        <v>235</v>
      </c>
      <c r="F73" s="20" t="s">
        <v>236</v>
      </c>
      <c r="G73" s="20" t="s">
        <v>218</v>
      </c>
      <c r="H73" s="21">
        <v>768.75</v>
      </c>
      <c r="I73" s="21">
        <v>768.75</v>
      </c>
    </row>
    <row r="74" spans="1:9" x14ac:dyDescent="0.45">
      <c r="B74" s="20" t="s">
        <v>232</v>
      </c>
      <c r="C74" s="20" t="s">
        <v>233</v>
      </c>
      <c r="D74" s="20" t="s">
        <v>234</v>
      </c>
      <c r="E74" s="20" t="s">
        <v>235</v>
      </c>
      <c r="F74" s="20" t="s">
        <v>237</v>
      </c>
      <c r="G74" s="20" t="s">
        <v>218</v>
      </c>
      <c r="H74" s="21">
        <v>-11.15</v>
      </c>
      <c r="I74" s="21">
        <v>757.6</v>
      </c>
    </row>
    <row r="75" spans="1:9" x14ac:dyDescent="0.45">
      <c r="B75" s="20" t="s">
        <v>232</v>
      </c>
      <c r="C75" s="20" t="s">
        <v>233</v>
      </c>
      <c r="D75" s="20" t="s">
        <v>234</v>
      </c>
      <c r="E75" s="20" t="s">
        <v>235</v>
      </c>
      <c r="F75" s="20" t="s">
        <v>238</v>
      </c>
      <c r="G75" s="20" t="s">
        <v>218</v>
      </c>
      <c r="H75" s="21">
        <v>-47.66</v>
      </c>
      <c r="I75" s="21">
        <v>709.94</v>
      </c>
    </row>
    <row r="76" spans="1:9" x14ac:dyDescent="0.45">
      <c r="B76" s="20" t="s">
        <v>232</v>
      </c>
      <c r="C76" s="20" t="s">
        <v>233</v>
      </c>
      <c r="D76" s="20" t="s">
        <v>234</v>
      </c>
      <c r="E76" s="20" t="s">
        <v>239</v>
      </c>
      <c r="F76" s="20" t="s">
        <v>236</v>
      </c>
      <c r="G76" s="20" t="s">
        <v>218</v>
      </c>
      <c r="H76" s="21">
        <v>384.38</v>
      </c>
      <c r="I76" s="21">
        <v>1094.3200000000002</v>
      </c>
    </row>
    <row r="77" spans="1:9" x14ac:dyDescent="0.45">
      <c r="B77" s="20" t="s">
        <v>232</v>
      </c>
      <c r="C77" s="20" t="s">
        <v>233</v>
      </c>
      <c r="D77" s="20" t="s">
        <v>234</v>
      </c>
      <c r="E77" s="20" t="s">
        <v>239</v>
      </c>
      <c r="F77" s="20" t="s">
        <v>237</v>
      </c>
      <c r="G77" s="20" t="s">
        <v>218</v>
      </c>
      <c r="H77" s="21">
        <v>-5.57</v>
      </c>
      <c r="I77" s="21">
        <v>1088.7500000000002</v>
      </c>
    </row>
    <row r="78" spans="1:9" x14ac:dyDescent="0.45">
      <c r="B78" s="20" t="s">
        <v>232</v>
      </c>
      <c r="C78" s="20" t="s">
        <v>233</v>
      </c>
      <c r="D78" s="20" t="s">
        <v>234</v>
      </c>
      <c r="E78" s="20" t="s">
        <v>239</v>
      </c>
      <c r="F78" s="20" t="s">
        <v>240</v>
      </c>
      <c r="G78" s="20" t="s">
        <v>218</v>
      </c>
      <c r="H78" s="21">
        <v>-23.83</v>
      </c>
      <c r="I78" s="21">
        <v>1064.9200000000003</v>
      </c>
    </row>
    <row r="79" spans="1:9" x14ac:dyDescent="0.45">
      <c r="B79" s="20" t="s">
        <v>232</v>
      </c>
      <c r="C79" s="20" t="s">
        <v>233</v>
      </c>
      <c r="D79" s="20" t="s">
        <v>234</v>
      </c>
      <c r="E79" s="20" t="s">
        <v>241</v>
      </c>
      <c r="F79" s="20" t="s">
        <v>236</v>
      </c>
      <c r="G79" s="20" t="s">
        <v>218</v>
      </c>
      <c r="H79" s="21">
        <v>384.38</v>
      </c>
      <c r="I79" s="21">
        <v>1449.3000000000002</v>
      </c>
    </row>
    <row r="80" spans="1:9" x14ac:dyDescent="0.45">
      <c r="B80" s="20" t="s">
        <v>232</v>
      </c>
      <c r="C80" s="20" t="s">
        <v>233</v>
      </c>
      <c r="D80" s="20" t="s">
        <v>234</v>
      </c>
      <c r="E80" s="20" t="s">
        <v>241</v>
      </c>
      <c r="F80" s="20" t="s">
        <v>237</v>
      </c>
      <c r="G80" s="20" t="s">
        <v>218</v>
      </c>
      <c r="H80" s="21">
        <v>-5.57</v>
      </c>
      <c r="I80" s="21">
        <v>1443.7300000000002</v>
      </c>
    </row>
    <row r="81" spans="1:9" x14ac:dyDescent="0.45">
      <c r="B81" s="20" t="s">
        <v>232</v>
      </c>
      <c r="C81" s="20" t="s">
        <v>233</v>
      </c>
      <c r="D81" s="20" t="s">
        <v>234</v>
      </c>
      <c r="E81" s="20" t="s">
        <v>241</v>
      </c>
      <c r="F81" s="20" t="s">
        <v>240</v>
      </c>
      <c r="G81" s="20" t="s">
        <v>218</v>
      </c>
      <c r="H81" s="21">
        <v>-23.83</v>
      </c>
      <c r="I81" s="21">
        <v>1419.9000000000003</v>
      </c>
    </row>
    <row r="82" spans="1:9" x14ac:dyDescent="0.45">
      <c r="B82" s="20" t="s">
        <v>232</v>
      </c>
      <c r="C82" s="20" t="s">
        <v>233</v>
      </c>
      <c r="D82" s="20" t="s">
        <v>234</v>
      </c>
      <c r="E82" s="20" t="s">
        <v>242</v>
      </c>
      <c r="F82" s="20" t="s">
        <v>243</v>
      </c>
      <c r="G82" s="20" t="s">
        <v>218</v>
      </c>
      <c r="H82" s="21">
        <v>384.38</v>
      </c>
      <c r="I82" s="21">
        <v>1804.2800000000002</v>
      </c>
    </row>
    <row r="83" spans="1:9" x14ac:dyDescent="0.45">
      <c r="B83" s="20" t="s">
        <v>232</v>
      </c>
      <c r="C83" s="20" t="s">
        <v>233</v>
      </c>
      <c r="D83" s="20" t="s">
        <v>234</v>
      </c>
      <c r="E83" s="20" t="s">
        <v>242</v>
      </c>
      <c r="F83" s="20" t="s">
        <v>237</v>
      </c>
      <c r="G83" s="20" t="s">
        <v>218</v>
      </c>
      <c r="H83" s="21">
        <v>-5.57</v>
      </c>
      <c r="I83" s="21">
        <v>1798.7100000000003</v>
      </c>
    </row>
    <row r="84" spans="1:9" x14ac:dyDescent="0.45">
      <c r="B84" s="20" t="s">
        <v>232</v>
      </c>
      <c r="C84" s="20" t="s">
        <v>233</v>
      </c>
      <c r="D84" s="20" t="s">
        <v>234</v>
      </c>
      <c r="E84" s="20" t="s">
        <v>242</v>
      </c>
      <c r="F84" s="20" t="s">
        <v>244</v>
      </c>
      <c r="G84" s="20" t="s">
        <v>218</v>
      </c>
      <c r="H84" s="21">
        <v>-23.83</v>
      </c>
      <c r="I84" s="21">
        <v>1774.8800000000003</v>
      </c>
    </row>
    <row r="85" spans="1:9" x14ac:dyDescent="0.45">
      <c r="B85" s="20" t="s">
        <v>232</v>
      </c>
      <c r="C85" s="20" t="s">
        <v>233</v>
      </c>
      <c r="D85" s="20" t="s">
        <v>234</v>
      </c>
      <c r="E85" s="20" t="s">
        <v>245</v>
      </c>
      <c r="F85" s="20" t="s">
        <v>246</v>
      </c>
      <c r="G85" s="20" t="s">
        <v>199</v>
      </c>
      <c r="H85" s="20"/>
      <c r="I85" s="21">
        <v>1774.8800000000003</v>
      </c>
    </row>
    <row r="86" spans="1:9" x14ac:dyDescent="0.45">
      <c r="B86" s="20" t="s">
        <v>247</v>
      </c>
      <c r="C86" s="20" t="s">
        <v>233</v>
      </c>
      <c r="D86" s="20" t="s">
        <v>248</v>
      </c>
      <c r="E86" s="20" t="s">
        <v>249</v>
      </c>
      <c r="F86" s="20" t="s">
        <v>243</v>
      </c>
      <c r="G86" s="20" t="s">
        <v>218</v>
      </c>
      <c r="H86" s="21">
        <v>384.38</v>
      </c>
      <c r="I86" s="21">
        <v>2159.2600000000002</v>
      </c>
    </row>
    <row r="87" spans="1:9" x14ac:dyDescent="0.45">
      <c r="B87" s="20" t="s">
        <v>247</v>
      </c>
      <c r="C87" s="20" t="s">
        <v>233</v>
      </c>
      <c r="D87" s="20" t="s">
        <v>248</v>
      </c>
      <c r="E87" s="20" t="s">
        <v>249</v>
      </c>
      <c r="F87" s="20" t="s">
        <v>237</v>
      </c>
      <c r="G87" s="20" t="s">
        <v>218</v>
      </c>
      <c r="H87" s="21">
        <v>-5.57</v>
      </c>
      <c r="I87" s="21">
        <v>2153.69</v>
      </c>
    </row>
    <row r="88" spans="1:9" x14ac:dyDescent="0.45">
      <c r="B88" s="20" t="s">
        <v>247</v>
      </c>
      <c r="C88" s="20" t="s">
        <v>233</v>
      </c>
      <c r="D88" s="20" t="s">
        <v>248</v>
      </c>
      <c r="E88" s="20" t="s">
        <v>249</v>
      </c>
      <c r="F88" s="20" t="s">
        <v>240</v>
      </c>
      <c r="G88" s="20" t="s">
        <v>218</v>
      </c>
      <c r="H88" s="21">
        <v>-23.83</v>
      </c>
      <c r="I88" s="21">
        <v>2129.86</v>
      </c>
    </row>
    <row r="89" spans="1:9" x14ac:dyDescent="0.45">
      <c r="B89" s="20" t="s">
        <v>213</v>
      </c>
      <c r="C89" s="20" t="s">
        <v>233</v>
      </c>
      <c r="D89" s="20" t="s">
        <v>234</v>
      </c>
      <c r="E89" s="20" t="s">
        <v>245</v>
      </c>
      <c r="F89" s="20" t="s">
        <v>246</v>
      </c>
      <c r="G89" s="20" t="s">
        <v>199</v>
      </c>
      <c r="H89" s="21">
        <v>352.86</v>
      </c>
      <c r="I89" s="21">
        <v>2482.7200000000003</v>
      </c>
    </row>
    <row r="90" spans="1:9" x14ac:dyDescent="0.45">
      <c r="A90" s="17" t="s">
        <v>250</v>
      </c>
      <c r="H90" s="22">
        <f>H73+H74+H75+H76+H77+H78+H79+H80+H81+H82+H83+H84+H85+H86+H87+H88+H89</f>
        <v>2482.7200000000003</v>
      </c>
    </row>
    <row r="91" spans="1:9" x14ac:dyDescent="0.45">
      <c r="A91" s="7" t="s">
        <v>47</v>
      </c>
    </row>
    <row r="92" spans="1:9" x14ac:dyDescent="0.45">
      <c r="A92" s="7" t="s">
        <v>48</v>
      </c>
    </row>
    <row r="93" spans="1:9" x14ac:dyDescent="0.45">
      <c r="B93" s="20" t="s">
        <v>232</v>
      </c>
      <c r="C93" s="20" t="s">
        <v>233</v>
      </c>
      <c r="D93" s="20" t="s">
        <v>234</v>
      </c>
      <c r="E93" s="20" t="s">
        <v>251</v>
      </c>
      <c r="F93" s="20" t="s">
        <v>252</v>
      </c>
      <c r="G93" s="20" t="s">
        <v>218</v>
      </c>
      <c r="H93" s="21">
        <v>416.12</v>
      </c>
      <c r="I93" s="21">
        <v>416.12</v>
      </c>
    </row>
    <row r="94" spans="1:9" x14ac:dyDescent="0.45">
      <c r="B94" s="20" t="s">
        <v>232</v>
      </c>
      <c r="C94" s="20" t="s">
        <v>233</v>
      </c>
      <c r="D94" s="20" t="s">
        <v>234</v>
      </c>
      <c r="E94" s="20" t="s">
        <v>251</v>
      </c>
      <c r="F94" s="20" t="s">
        <v>237</v>
      </c>
      <c r="G94" s="20" t="s">
        <v>218</v>
      </c>
      <c r="H94" s="21">
        <v>-6.03</v>
      </c>
      <c r="I94" s="21">
        <v>410.09000000000003</v>
      </c>
    </row>
    <row r="95" spans="1:9" x14ac:dyDescent="0.45">
      <c r="B95" s="20" t="s">
        <v>232</v>
      </c>
      <c r="C95" s="20" t="s">
        <v>233</v>
      </c>
      <c r="D95" s="20" t="s">
        <v>234</v>
      </c>
      <c r="E95" s="20" t="s">
        <v>251</v>
      </c>
      <c r="F95" s="20" t="s">
        <v>244</v>
      </c>
      <c r="G95" s="20" t="s">
        <v>218</v>
      </c>
      <c r="H95" s="21">
        <v>-25.8</v>
      </c>
      <c r="I95" s="21">
        <v>384.29</v>
      </c>
    </row>
    <row r="96" spans="1:9" x14ac:dyDescent="0.45">
      <c r="B96" s="20" t="s">
        <v>232</v>
      </c>
      <c r="C96" s="20" t="s">
        <v>233</v>
      </c>
      <c r="D96" s="20" t="s">
        <v>234</v>
      </c>
      <c r="E96" s="20" t="s">
        <v>251</v>
      </c>
      <c r="F96" s="20" t="s">
        <v>253</v>
      </c>
      <c r="G96" s="20" t="s">
        <v>218</v>
      </c>
      <c r="H96" s="21">
        <v>-100</v>
      </c>
      <c r="I96" s="21">
        <v>284.29000000000002</v>
      </c>
    </row>
    <row r="97" spans="1:9" x14ac:dyDescent="0.45">
      <c r="A97" s="27" t="s">
        <v>254</v>
      </c>
      <c r="H97" s="22">
        <f>H93+H94+H95+H96</f>
        <v>284.29000000000002</v>
      </c>
    </row>
    <row r="98" spans="1:9" x14ac:dyDescent="0.45">
      <c r="A98" s="17" t="s">
        <v>255</v>
      </c>
      <c r="H98" s="22">
        <f>H97</f>
        <v>284.29000000000002</v>
      </c>
    </row>
    <row r="99" spans="1:9" x14ac:dyDescent="0.45">
      <c r="A99" s="14" t="s">
        <v>256</v>
      </c>
      <c r="H99" s="22">
        <f>H90+H98</f>
        <v>2767.01</v>
      </c>
    </row>
    <row r="100" spans="1:9" x14ac:dyDescent="0.45">
      <c r="A100" s="7" t="s">
        <v>51</v>
      </c>
    </row>
    <row r="101" spans="1:9" x14ac:dyDescent="0.45">
      <c r="B101" s="20" t="s">
        <v>247</v>
      </c>
      <c r="C101" s="20" t="s">
        <v>233</v>
      </c>
      <c r="D101" s="20" t="s">
        <v>257</v>
      </c>
      <c r="E101" s="20" t="s">
        <v>258</v>
      </c>
      <c r="F101" s="20" t="s">
        <v>259</v>
      </c>
      <c r="G101" s="20" t="s">
        <v>218</v>
      </c>
      <c r="H101" s="21">
        <v>906.39</v>
      </c>
      <c r="I101" s="21">
        <v>906.39</v>
      </c>
    </row>
    <row r="102" spans="1:9" x14ac:dyDescent="0.45">
      <c r="A102" s="14" t="s">
        <v>260</v>
      </c>
      <c r="H102" s="22">
        <f>H101</f>
        <v>906.39</v>
      </c>
    </row>
    <row r="103" spans="1:9" x14ac:dyDescent="0.45">
      <c r="A103" s="7" t="s">
        <v>52</v>
      </c>
    </row>
    <row r="104" spans="1:9" x14ac:dyDescent="0.45">
      <c r="A104" s="7" t="s">
        <v>53</v>
      </c>
    </row>
    <row r="105" spans="1:9" x14ac:dyDescent="0.45">
      <c r="B105" s="20" t="s">
        <v>232</v>
      </c>
      <c r="C105" s="20" t="s">
        <v>233</v>
      </c>
      <c r="D105" s="20" t="s">
        <v>234</v>
      </c>
      <c r="E105" s="20" t="s">
        <v>261</v>
      </c>
      <c r="F105" s="20" t="s">
        <v>262</v>
      </c>
      <c r="G105" s="20" t="s">
        <v>218</v>
      </c>
      <c r="H105" s="21">
        <v>2083.34</v>
      </c>
      <c r="I105" s="21">
        <v>2083.34</v>
      </c>
    </row>
    <row r="106" spans="1:9" x14ac:dyDescent="0.45">
      <c r="B106" s="20" t="s">
        <v>232</v>
      </c>
      <c r="C106" s="20" t="s">
        <v>233</v>
      </c>
      <c r="D106" s="20" t="s">
        <v>234</v>
      </c>
      <c r="E106" s="20" t="s">
        <v>261</v>
      </c>
      <c r="F106" s="20" t="s">
        <v>253</v>
      </c>
      <c r="G106" s="20" t="s">
        <v>218</v>
      </c>
      <c r="H106" s="21">
        <v>-250</v>
      </c>
      <c r="I106" s="21">
        <v>1833.3400000000001</v>
      </c>
    </row>
    <row r="107" spans="1:9" x14ac:dyDescent="0.45">
      <c r="B107" s="20" t="s">
        <v>232</v>
      </c>
      <c r="C107" s="20" t="s">
        <v>233</v>
      </c>
      <c r="D107" s="20" t="s">
        <v>234</v>
      </c>
      <c r="E107" s="20" t="s">
        <v>261</v>
      </c>
      <c r="F107" s="20" t="s">
        <v>263</v>
      </c>
      <c r="G107" s="20" t="s">
        <v>218</v>
      </c>
      <c r="H107" s="21">
        <v>-100</v>
      </c>
      <c r="I107" s="21">
        <v>1733.3400000000001</v>
      </c>
    </row>
    <row r="108" spans="1:9" x14ac:dyDescent="0.45">
      <c r="B108" s="20" t="s">
        <v>232</v>
      </c>
      <c r="C108" s="20" t="s">
        <v>233</v>
      </c>
      <c r="D108" s="20" t="s">
        <v>234</v>
      </c>
      <c r="E108" s="20" t="s">
        <v>261</v>
      </c>
      <c r="F108" s="20" t="s">
        <v>237</v>
      </c>
      <c r="G108" s="20" t="s">
        <v>218</v>
      </c>
      <c r="H108" s="21">
        <v>-30.21</v>
      </c>
      <c r="I108" s="21">
        <v>1703.13</v>
      </c>
    </row>
    <row r="109" spans="1:9" x14ac:dyDescent="0.45">
      <c r="B109" s="20" t="s">
        <v>232</v>
      </c>
      <c r="C109" s="20" t="s">
        <v>233</v>
      </c>
      <c r="D109" s="20" t="s">
        <v>234</v>
      </c>
      <c r="E109" s="20" t="s">
        <v>261</v>
      </c>
      <c r="F109" s="20" t="s">
        <v>244</v>
      </c>
      <c r="G109" s="20" t="s">
        <v>218</v>
      </c>
      <c r="H109" s="21">
        <v>-129.16999999999999</v>
      </c>
      <c r="I109" s="21">
        <v>1573.96</v>
      </c>
    </row>
    <row r="110" spans="1:9" x14ac:dyDescent="0.45">
      <c r="B110" s="20" t="s">
        <v>232</v>
      </c>
      <c r="C110" s="20" t="s">
        <v>233</v>
      </c>
      <c r="D110" s="20" t="s">
        <v>234</v>
      </c>
      <c r="E110" s="20" t="s">
        <v>245</v>
      </c>
      <c r="F110" s="20" t="s">
        <v>264</v>
      </c>
      <c r="G110" s="20" t="s">
        <v>199</v>
      </c>
      <c r="H110" s="21">
        <v>568.75</v>
      </c>
      <c r="I110" s="21">
        <v>2142.71</v>
      </c>
    </row>
    <row r="111" spans="1:9" x14ac:dyDescent="0.45">
      <c r="B111" s="20" t="s">
        <v>265</v>
      </c>
      <c r="C111" s="20" t="s">
        <v>233</v>
      </c>
      <c r="D111" s="20" t="s">
        <v>234</v>
      </c>
      <c r="E111" s="20" t="s">
        <v>266</v>
      </c>
      <c r="F111" s="20" t="s">
        <v>267</v>
      </c>
      <c r="G111" s="20" t="s">
        <v>218</v>
      </c>
      <c r="H111" s="21">
        <v>100</v>
      </c>
      <c r="I111" s="21">
        <v>2242.71</v>
      </c>
    </row>
    <row r="112" spans="1:9" x14ac:dyDescent="0.45">
      <c r="B112" s="20" t="s">
        <v>213</v>
      </c>
      <c r="C112" s="20" t="s">
        <v>233</v>
      </c>
      <c r="D112" s="20" t="s">
        <v>234</v>
      </c>
      <c r="E112" s="20" t="s">
        <v>245</v>
      </c>
      <c r="F112" s="20" t="s">
        <v>264</v>
      </c>
      <c r="G112" s="20" t="s">
        <v>199</v>
      </c>
      <c r="H112" s="21">
        <v>568.75</v>
      </c>
      <c r="I112" s="21">
        <v>2811.46</v>
      </c>
    </row>
    <row r="113" spans="1:9" x14ac:dyDescent="0.45">
      <c r="B113" s="20" t="s">
        <v>213</v>
      </c>
      <c r="C113" s="20" t="s">
        <v>233</v>
      </c>
      <c r="D113" s="20" t="s">
        <v>234</v>
      </c>
      <c r="E113" s="20" t="s">
        <v>266</v>
      </c>
      <c r="F113" s="20" t="s">
        <v>267</v>
      </c>
      <c r="G113" s="20" t="s">
        <v>218</v>
      </c>
      <c r="H113" s="21">
        <v>100</v>
      </c>
      <c r="I113" s="21">
        <v>2911.46</v>
      </c>
    </row>
    <row r="114" spans="1:9" x14ac:dyDescent="0.45">
      <c r="A114" s="17" t="s">
        <v>57</v>
      </c>
      <c r="H114" s="22">
        <f>H105+H106+H107+H108+H109+H110+H111+H112+H113</f>
        <v>2911.46</v>
      </c>
    </row>
    <row r="115" spans="1:9" x14ac:dyDescent="0.45">
      <c r="A115" s="7" t="s">
        <v>55</v>
      </c>
    </row>
    <row r="116" spans="1:9" x14ac:dyDescent="0.45">
      <c r="B116" s="20" t="s">
        <v>232</v>
      </c>
      <c r="C116" s="20" t="s">
        <v>233</v>
      </c>
      <c r="D116" s="20" t="s">
        <v>234</v>
      </c>
      <c r="E116" s="20" t="s">
        <v>261</v>
      </c>
      <c r="F116" s="20" t="s">
        <v>268</v>
      </c>
      <c r="G116" s="20" t="s">
        <v>218</v>
      </c>
      <c r="H116" s="21">
        <v>-150</v>
      </c>
      <c r="I116" s="21">
        <v>-150</v>
      </c>
    </row>
    <row r="117" spans="1:9" x14ac:dyDescent="0.45">
      <c r="A117" s="27" t="s">
        <v>269</v>
      </c>
      <c r="H117" s="22">
        <f>H116</f>
        <v>-150</v>
      </c>
    </row>
    <row r="118" spans="1:9" x14ac:dyDescent="0.45">
      <c r="A118" s="7" t="s">
        <v>56</v>
      </c>
    </row>
    <row r="119" spans="1:9" x14ac:dyDescent="0.45">
      <c r="B119" s="20" t="s">
        <v>232</v>
      </c>
      <c r="C119" s="20" t="s">
        <v>233</v>
      </c>
      <c r="D119" s="20" t="s">
        <v>234</v>
      </c>
      <c r="E119" s="20" t="s">
        <v>270</v>
      </c>
      <c r="F119" s="20" t="s">
        <v>271</v>
      </c>
      <c r="G119" s="20" t="s">
        <v>218</v>
      </c>
      <c r="H119" s="21">
        <v>152.63</v>
      </c>
      <c r="I119" s="21">
        <v>152.63</v>
      </c>
    </row>
    <row r="120" spans="1:9" x14ac:dyDescent="0.45">
      <c r="B120" s="20" t="s">
        <v>232</v>
      </c>
      <c r="C120" s="20" t="s">
        <v>233</v>
      </c>
      <c r="D120" s="20" t="s">
        <v>234</v>
      </c>
      <c r="E120" s="20" t="s">
        <v>270</v>
      </c>
      <c r="F120" s="20" t="s">
        <v>237</v>
      </c>
      <c r="G120" s="20" t="s">
        <v>218</v>
      </c>
      <c r="H120" s="21">
        <v>-2.21</v>
      </c>
      <c r="I120" s="21">
        <v>150.41999999999999</v>
      </c>
    </row>
    <row r="121" spans="1:9" x14ac:dyDescent="0.45">
      <c r="B121" s="20" t="s">
        <v>232</v>
      </c>
      <c r="C121" s="20" t="s">
        <v>233</v>
      </c>
      <c r="D121" s="20" t="s">
        <v>234</v>
      </c>
      <c r="E121" s="20" t="s">
        <v>270</v>
      </c>
      <c r="F121" s="20" t="s">
        <v>244</v>
      </c>
      <c r="G121" s="20" t="s">
        <v>218</v>
      </c>
      <c r="H121" s="21">
        <v>-9.4600000000000009</v>
      </c>
      <c r="I121" s="21">
        <v>140.95999999999998</v>
      </c>
    </row>
    <row r="122" spans="1:9" x14ac:dyDescent="0.45">
      <c r="B122" s="20" t="s">
        <v>232</v>
      </c>
      <c r="C122" s="20" t="s">
        <v>233</v>
      </c>
      <c r="D122" s="20" t="s">
        <v>234</v>
      </c>
      <c r="E122" s="20" t="s">
        <v>245</v>
      </c>
      <c r="F122" s="20" t="s">
        <v>272</v>
      </c>
      <c r="G122" s="20" t="s">
        <v>199</v>
      </c>
      <c r="H122" s="21">
        <v>183.42</v>
      </c>
      <c r="I122" s="21">
        <v>324.38</v>
      </c>
    </row>
    <row r="123" spans="1:9" x14ac:dyDescent="0.45">
      <c r="B123" s="20" t="s">
        <v>265</v>
      </c>
      <c r="C123" s="20" t="s">
        <v>233</v>
      </c>
      <c r="D123" s="20" t="s">
        <v>234</v>
      </c>
      <c r="E123" s="20" t="s">
        <v>266</v>
      </c>
      <c r="F123" s="20" t="s">
        <v>273</v>
      </c>
      <c r="G123" s="20" t="s">
        <v>218</v>
      </c>
      <c r="H123" s="20"/>
      <c r="I123" s="21">
        <v>324.38</v>
      </c>
    </row>
    <row r="124" spans="1:9" x14ac:dyDescent="0.45">
      <c r="B124" s="20" t="s">
        <v>213</v>
      </c>
      <c r="C124" s="20" t="s">
        <v>233</v>
      </c>
      <c r="D124" s="20" t="s">
        <v>234</v>
      </c>
      <c r="E124" s="20" t="s">
        <v>245</v>
      </c>
      <c r="F124" s="20" t="s">
        <v>272</v>
      </c>
      <c r="G124" s="20" t="s">
        <v>199</v>
      </c>
      <c r="H124" s="21">
        <v>187.02</v>
      </c>
      <c r="I124" s="21">
        <v>511.4</v>
      </c>
    </row>
    <row r="125" spans="1:9" x14ac:dyDescent="0.45">
      <c r="B125" s="20" t="s">
        <v>213</v>
      </c>
      <c r="C125" s="20" t="s">
        <v>233</v>
      </c>
      <c r="D125" s="20" t="s">
        <v>234</v>
      </c>
      <c r="E125" s="20" t="s">
        <v>266</v>
      </c>
      <c r="F125" s="20" t="s">
        <v>273</v>
      </c>
      <c r="G125" s="20" t="s">
        <v>218</v>
      </c>
      <c r="H125" s="20"/>
      <c r="I125" s="21">
        <v>511.4</v>
      </c>
    </row>
    <row r="126" spans="1:9" x14ac:dyDescent="0.45">
      <c r="A126" s="27" t="s">
        <v>274</v>
      </c>
      <c r="H126" s="22">
        <f>H119+H120+H121+H122+H123+H124+H125</f>
        <v>511.4</v>
      </c>
    </row>
    <row r="127" spans="1:9" ht="22.3" x14ac:dyDescent="0.45">
      <c r="A127" s="17" t="s">
        <v>275</v>
      </c>
      <c r="H127" s="22">
        <f>H114+H117+H126</f>
        <v>3272.86</v>
      </c>
    </row>
    <row r="128" spans="1:9" x14ac:dyDescent="0.45">
      <c r="A128" s="7" t="s">
        <v>58</v>
      </c>
    </row>
    <row r="129" spans="1:9" x14ac:dyDescent="0.45">
      <c r="A129" s="7" t="s">
        <v>61</v>
      </c>
    </row>
    <row r="130" spans="1:9" x14ac:dyDescent="0.45">
      <c r="B130" s="20" t="s">
        <v>247</v>
      </c>
      <c r="C130" s="20" t="s">
        <v>233</v>
      </c>
      <c r="D130" s="20" t="s">
        <v>276</v>
      </c>
      <c r="E130" s="20" t="s">
        <v>277</v>
      </c>
      <c r="F130" s="20" t="s">
        <v>278</v>
      </c>
      <c r="G130" s="20" t="s">
        <v>218</v>
      </c>
      <c r="H130" s="21">
        <v>481.56</v>
      </c>
      <c r="I130" s="21">
        <v>481.56</v>
      </c>
    </row>
    <row r="131" spans="1:9" x14ac:dyDescent="0.45">
      <c r="A131" s="27" t="s">
        <v>279</v>
      </c>
      <c r="H131" s="22">
        <f>H130</f>
        <v>481.56</v>
      </c>
    </row>
    <row r="132" spans="1:9" x14ac:dyDescent="0.45">
      <c r="A132" s="17" t="s">
        <v>280</v>
      </c>
      <c r="H132" s="22">
        <f>H131</f>
        <v>481.56</v>
      </c>
    </row>
    <row r="133" spans="1:9" x14ac:dyDescent="0.45">
      <c r="A133" s="7" t="s">
        <v>63</v>
      </c>
    </row>
    <row r="134" spans="1:9" x14ac:dyDescent="0.45">
      <c r="A134" s="7" t="s">
        <v>64</v>
      </c>
    </row>
    <row r="135" spans="1:9" x14ac:dyDescent="0.45">
      <c r="B135" s="20" t="s">
        <v>265</v>
      </c>
      <c r="C135" s="20" t="s">
        <v>233</v>
      </c>
      <c r="D135" s="20" t="s">
        <v>234</v>
      </c>
      <c r="E135" s="20" t="s">
        <v>214</v>
      </c>
      <c r="F135" s="20" t="s">
        <v>281</v>
      </c>
      <c r="G135" s="20" t="s">
        <v>218</v>
      </c>
      <c r="H135" s="21">
        <v>110</v>
      </c>
      <c r="I135" s="21">
        <v>110</v>
      </c>
    </row>
    <row r="136" spans="1:9" x14ac:dyDescent="0.45">
      <c r="A136" s="27" t="s">
        <v>282</v>
      </c>
      <c r="H136" s="22">
        <f>H135</f>
        <v>110</v>
      </c>
    </row>
    <row r="137" spans="1:9" x14ac:dyDescent="0.45">
      <c r="A137" s="7" t="s">
        <v>65</v>
      </c>
    </row>
    <row r="138" spans="1:9" x14ac:dyDescent="0.45">
      <c r="B138" s="20" t="s">
        <v>283</v>
      </c>
      <c r="C138" s="20" t="s">
        <v>233</v>
      </c>
      <c r="D138" s="20" t="s">
        <v>284</v>
      </c>
      <c r="E138" s="20" t="s">
        <v>285</v>
      </c>
      <c r="F138" s="20" t="s">
        <v>286</v>
      </c>
      <c r="G138" s="20" t="s">
        <v>218</v>
      </c>
      <c r="H138" s="21">
        <v>178</v>
      </c>
      <c r="I138" s="21">
        <v>178</v>
      </c>
    </row>
    <row r="139" spans="1:9" x14ac:dyDescent="0.45">
      <c r="A139" s="27" t="s">
        <v>287</v>
      </c>
      <c r="H139" s="22">
        <f>H138</f>
        <v>178</v>
      </c>
    </row>
    <row r="140" spans="1:9" x14ac:dyDescent="0.45">
      <c r="A140" s="7" t="s">
        <v>66</v>
      </c>
    </row>
    <row r="141" spans="1:9" x14ac:dyDescent="0.45">
      <c r="B141" s="20" t="s">
        <v>247</v>
      </c>
      <c r="C141" s="20" t="s">
        <v>233</v>
      </c>
      <c r="D141" s="20" t="s">
        <v>288</v>
      </c>
      <c r="E141" s="20" t="s">
        <v>289</v>
      </c>
      <c r="F141" s="20" t="s">
        <v>290</v>
      </c>
      <c r="G141" s="20" t="s">
        <v>218</v>
      </c>
      <c r="H141" s="21">
        <v>49.99</v>
      </c>
      <c r="I141" s="21">
        <v>49.99</v>
      </c>
    </row>
    <row r="142" spans="1:9" x14ac:dyDescent="0.45">
      <c r="B142" s="20" t="s">
        <v>283</v>
      </c>
      <c r="C142" s="20" t="s">
        <v>233</v>
      </c>
      <c r="D142" s="20" t="s">
        <v>284</v>
      </c>
      <c r="E142" s="20" t="s">
        <v>291</v>
      </c>
      <c r="F142" s="20" t="s">
        <v>292</v>
      </c>
      <c r="G142" s="20" t="s">
        <v>218</v>
      </c>
      <c r="H142" s="21">
        <v>317.75</v>
      </c>
      <c r="I142" s="21">
        <v>367.74</v>
      </c>
    </row>
    <row r="143" spans="1:9" x14ac:dyDescent="0.45">
      <c r="B143" s="20" t="s">
        <v>283</v>
      </c>
      <c r="C143" s="20" t="s">
        <v>233</v>
      </c>
      <c r="D143" s="20" t="s">
        <v>284</v>
      </c>
      <c r="E143" s="20" t="s">
        <v>291</v>
      </c>
      <c r="F143" s="20" t="s">
        <v>293</v>
      </c>
      <c r="G143" s="20" t="s">
        <v>218</v>
      </c>
      <c r="H143" s="21">
        <v>214.25</v>
      </c>
      <c r="I143" s="21">
        <v>581.99</v>
      </c>
    </row>
    <row r="144" spans="1:9" x14ac:dyDescent="0.45">
      <c r="A144" s="27" t="s">
        <v>294</v>
      </c>
      <c r="H144" s="22">
        <f>H141+H142+H143</f>
        <v>581.99</v>
      </c>
    </row>
    <row r="145" spans="1:9" x14ac:dyDescent="0.45">
      <c r="A145" s="7" t="s">
        <v>68</v>
      </c>
    </row>
    <row r="146" spans="1:9" x14ac:dyDescent="0.45">
      <c r="B146" s="20" t="s">
        <v>232</v>
      </c>
      <c r="C146" s="20" t="s">
        <v>233</v>
      </c>
      <c r="D146" s="20" t="s">
        <v>295</v>
      </c>
      <c r="E146" s="20" t="s">
        <v>296</v>
      </c>
      <c r="F146" s="20" t="s">
        <v>297</v>
      </c>
      <c r="G146" s="20" t="s">
        <v>218</v>
      </c>
      <c r="H146" s="21">
        <v>12.19</v>
      </c>
      <c r="I146" s="21">
        <v>12.19</v>
      </c>
    </row>
    <row r="147" spans="1:9" x14ac:dyDescent="0.45">
      <c r="B147" s="20" t="s">
        <v>265</v>
      </c>
      <c r="C147" s="20" t="s">
        <v>233</v>
      </c>
      <c r="D147" s="20" t="s">
        <v>234</v>
      </c>
      <c r="E147" s="20" t="s">
        <v>214</v>
      </c>
      <c r="F147" s="20" t="s">
        <v>298</v>
      </c>
      <c r="G147" s="20" t="s">
        <v>218</v>
      </c>
      <c r="H147" s="21">
        <v>115</v>
      </c>
      <c r="I147" s="21">
        <v>127.19</v>
      </c>
    </row>
    <row r="148" spans="1:9" x14ac:dyDescent="0.45">
      <c r="B148" s="20" t="s">
        <v>265</v>
      </c>
      <c r="C148" s="20" t="s">
        <v>233</v>
      </c>
      <c r="D148" s="20" t="s">
        <v>234</v>
      </c>
      <c r="E148" s="20" t="s">
        <v>214</v>
      </c>
      <c r="F148" s="20" t="s">
        <v>299</v>
      </c>
      <c r="G148" s="20" t="s">
        <v>218</v>
      </c>
      <c r="H148" s="21">
        <v>72.239999999999995</v>
      </c>
      <c r="I148" s="21">
        <v>199.43</v>
      </c>
    </row>
    <row r="149" spans="1:9" x14ac:dyDescent="0.45">
      <c r="A149" s="27" t="s">
        <v>300</v>
      </c>
      <c r="H149" s="22">
        <f>H146+H147+H148</f>
        <v>199.43</v>
      </c>
    </row>
    <row r="150" spans="1:9" x14ac:dyDescent="0.45">
      <c r="A150" s="7" t="s">
        <v>69</v>
      </c>
    </row>
    <row r="151" spans="1:9" x14ac:dyDescent="0.45">
      <c r="B151" s="20" t="s">
        <v>232</v>
      </c>
      <c r="C151" s="20" t="s">
        <v>233</v>
      </c>
      <c r="D151" s="20" t="s">
        <v>295</v>
      </c>
      <c r="E151" s="20" t="s">
        <v>296</v>
      </c>
      <c r="F151" s="20" t="s">
        <v>301</v>
      </c>
      <c r="G151" s="20" t="s">
        <v>218</v>
      </c>
      <c r="H151" s="21">
        <v>22.21</v>
      </c>
      <c r="I151" s="21">
        <v>22.21</v>
      </c>
    </row>
    <row r="152" spans="1:9" x14ac:dyDescent="0.45">
      <c r="A152" s="27" t="s">
        <v>302</v>
      </c>
      <c r="H152" s="22">
        <f>H151</f>
        <v>22.21</v>
      </c>
    </row>
    <row r="153" spans="1:9" x14ac:dyDescent="0.45">
      <c r="A153" s="7" t="s">
        <v>71</v>
      </c>
    </row>
    <row r="154" spans="1:9" x14ac:dyDescent="0.45">
      <c r="B154" s="20" t="s">
        <v>283</v>
      </c>
      <c r="C154" s="20" t="s">
        <v>233</v>
      </c>
      <c r="D154" s="20" t="s">
        <v>284</v>
      </c>
      <c r="E154" s="20" t="s">
        <v>285</v>
      </c>
      <c r="F154" s="20" t="s">
        <v>303</v>
      </c>
      <c r="G154" s="20" t="s">
        <v>218</v>
      </c>
      <c r="H154" s="21">
        <v>210.92</v>
      </c>
      <c r="I154" s="21">
        <v>210.92</v>
      </c>
    </row>
    <row r="155" spans="1:9" x14ac:dyDescent="0.45">
      <c r="A155" s="27" t="s">
        <v>304</v>
      </c>
      <c r="H155" s="22">
        <f>H154</f>
        <v>210.92</v>
      </c>
    </row>
    <row r="156" spans="1:9" x14ac:dyDescent="0.45">
      <c r="A156" s="7" t="s">
        <v>73</v>
      </c>
    </row>
    <row r="157" spans="1:9" x14ac:dyDescent="0.45">
      <c r="B157" s="20" t="s">
        <v>247</v>
      </c>
      <c r="C157" s="20" t="s">
        <v>233</v>
      </c>
      <c r="D157" s="20" t="s">
        <v>305</v>
      </c>
      <c r="E157" s="20" t="s">
        <v>306</v>
      </c>
      <c r="F157" s="20" t="s">
        <v>307</v>
      </c>
      <c r="G157" s="20" t="s">
        <v>218</v>
      </c>
      <c r="H157" s="21">
        <v>79.95</v>
      </c>
      <c r="I157" s="21">
        <v>79.95</v>
      </c>
    </row>
    <row r="158" spans="1:9" x14ac:dyDescent="0.45">
      <c r="A158" s="27" t="s">
        <v>308</v>
      </c>
      <c r="H158" s="22">
        <f>H157</f>
        <v>79.95</v>
      </c>
    </row>
    <row r="159" spans="1:9" ht="22.3" x14ac:dyDescent="0.45">
      <c r="A159" s="17" t="s">
        <v>309</v>
      </c>
      <c r="H159" s="22">
        <f>H136+H139+H144+H149+H152+H155+H158</f>
        <v>1382.5000000000002</v>
      </c>
    </row>
    <row r="160" spans="1:9" x14ac:dyDescent="0.45">
      <c r="A160" s="14" t="s">
        <v>310</v>
      </c>
      <c r="H160" s="22">
        <f>H127+H132+H159</f>
        <v>5136.92</v>
      </c>
    </row>
    <row r="161" spans="1:9" x14ac:dyDescent="0.45">
      <c r="A161" s="7" t="s">
        <v>76</v>
      </c>
    </row>
    <row r="162" spans="1:9" x14ac:dyDescent="0.45">
      <c r="A162" s="7" t="s">
        <v>77</v>
      </c>
    </row>
    <row r="163" spans="1:9" x14ac:dyDescent="0.45">
      <c r="B163" s="20" t="s">
        <v>232</v>
      </c>
      <c r="C163" s="20" t="s">
        <v>233</v>
      </c>
      <c r="D163" s="20" t="s">
        <v>295</v>
      </c>
      <c r="E163" s="20" t="s">
        <v>296</v>
      </c>
      <c r="F163" s="20" t="s">
        <v>236</v>
      </c>
      <c r="G163" s="20" t="s">
        <v>218</v>
      </c>
      <c r="H163" s="21">
        <v>3000</v>
      </c>
      <c r="I163" s="21">
        <v>3000</v>
      </c>
    </row>
    <row r="164" spans="1:9" x14ac:dyDescent="0.45">
      <c r="B164" s="20" t="s">
        <v>232</v>
      </c>
      <c r="C164" s="20" t="s">
        <v>233</v>
      </c>
      <c r="D164" s="20" t="s">
        <v>295</v>
      </c>
      <c r="E164" s="20" t="s">
        <v>296</v>
      </c>
      <c r="F164" s="20" t="s">
        <v>253</v>
      </c>
      <c r="G164" s="20" t="s">
        <v>218</v>
      </c>
      <c r="H164" s="21">
        <v>-42.5</v>
      </c>
      <c r="I164" s="21">
        <v>2957.5</v>
      </c>
    </row>
    <row r="165" spans="1:9" x14ac:dyDescent="0.45">
      <c r="B165" s="20" t="s">
        <v>232</v>
      </c>
      <c r="C165" s="20" t="s">
        <v>233</v>
      </c>
      <c r="D165" s="20" t="s">
        <v>295</v>
      </c>
      <c r="E165" s="20" t="s">
        <v>296</v>
      </c>
      <c r="F165" s="20" t="s">
        <v>263</v>
      </c>
      <c r="G165" s="20" t="s">
        <v>218</v>
      </c>
      <c r="H165" s="21">
        <v>-126.11</v>
      </c>
      <c r="I165" s="21">
        <v>2831.39</v>
      </c>
    </row>
    <row r="166" spans="1:9" x14ac:dyDescent="0.45">
      <c r="B166" s="20" t="s">
        <v>232</v>
      </c>
      <c r="C166" s="20" t="s">
        <v>233</v>
      </c>
      <c r="D166" s="20" t="s">
        <v>295</v>
      </c>
      <c r="E166" s="20" t="s">
        <v>296</v>
      </c>
      <c r="F166" s="20" t="s">
        <v>237</v>
      </c>
      <c r="G166" s="20" t="s">
        <v>218</v>
      </c>
      <c r="H166" s="21">
        <v>-76.13</v>
      </c>
      <c r="I166" s="21">
        <v>2755.2599999999998</v>
      </c>
    </row>
    <row r="167" spans="1:9" x14ac:dyDescent="0.45">
      <c r="B167" s="20" t="s">
        <v>232</v>
      </c>
      <c r="C167" s="20" t="s">
        <v>233</v>
      </c>
      <c r="D167" s="20" t="s">
        <v>295</v>
      </c>
      <c r="E167" s="20" t="s">
        <v>296</v>
      </c>
      <c r="F167" s="20" t="s">
        <v>244</v>
      </c>
      <c r="G167" s="20" t="s">
        <v>218</v>
      </c>
      <c r="H167" s="21">
        <v>-325.5</v>
      </c>
      <c r="I167" s="21">
        <v>2429.7599999999998</v>
      </c>
    </row>
    <row r="168" spans="1:9" x14ac:dyDescent="0.45">
      <c r="B168" s="20" t="s">
        <v>232</v>
      </c>
      <c r="C168" s="20" t="s">
        <v>233</v>
      </c>
      <c r="D168" s="20" t="s">
        <v>295</v>
      </c>
      <c r="E168" s="20" t="s">
        <v>296</v>
      </c>
      <c r="F168" s="20" t="s">
        <v>311</v>
      </c>
      <c r="G168" s="20" t="s">
        <v>218</v>
      </c>
      <c r="H168" s="21">
        <v>2250</v>
      </c>
      <c r="I168" s="21">
        <v>4679.76</v>
      </c>
    </row>
    <row r="169" spans="1:9" x14ac:dyDescent="0.45">
      <c r="B169" s="20" t="s">
        <v>232</v>
      </c>
      <c r="C169" s="20" t="s">
        <v>233</v>
      </c>
      <c r="D169" s="20" t="s">
        <v>234</v>
      </c>
      <c r="E169" s="20" t="s">
        <v>245</v>
      </c>
      <c r="F169" s="20" t="s">
        <v>312</v>
      </c>
      <c r="G169" s="20" t="s">
        <v>199</v>
      </c>
      <c r="H169" s="20"/>
      <c r="I169" s="21">
        <v>4679.76</v>
      </c>
    </row>
    <row r="170" spans="1:9" x14ac:dyDescent="0.45">
      <c r="B170" s="20" t="s">
        <v>265</v>
      </c>
      <c r="C170" s="20" t="s">
        <v>233</v>
      </c>
      <c r="D170" s="20" t="s">
        <v>234</v>
      </c>
      <c r="E170" s="20" t="s">
        <v>266</v>
      </c>
      <c r="F170" s="20" t="s">
        <v>313</v>
      </c>
      <c r="G170" s="20" t="s">
        <v>218</v>
      </c>
      <c r="H170" s="20"/>
      <c r="I170" s="21">
        <v>4679.76</v>
      </c>
    </row>
    <row r="171" spans="1:9" x14ac:dyDescent="0.45">
      <c r="B171" s="20" t="s">
        <v>213</v>
      </c>
      <c r="C171" s="20" t="s">
        <v>233</v>
      </c>
      <c r="D171" s="20" t="s">
        <v>234</v>
      </c>
      <c r="E171" s="20" t="s">
        <v>245</v>
      </c>
      <c r="F171" s="20" t="s">
        <v>312</v>
      </c>
      <c r="G171" s="20" t="s">
        <v>199</v>
      </c>
      <c r="H171" s="21">
        <v>845.75</v>
      </c>
      <c r="I171" s="21">
        <v>5525.51</v>
      </c>
    </row>
    <row r="172" spans="1:9" x14ac:dyDescent="0.45">
      <c r="B172" s="20" t="s">
        <v>213</v>
      </c>
      <c r="C172" s="20" t="s">
        <v>233</v>
      </c>
      <c r="D172" s="20" t="s">
        <v>234</v>
      </c>
      <c r="E172" s="20" t="s">
        <v>266</v>
      </c>
      <c r="F172" s="20" t="s">
        <v>313</v>
      </c>
      <c r="G172" s="20" t="s">
        <v>218</v>
      </c>
      <c r="H172" s="21">
        <v>126.11</v>
      </c>
      <c r="I172" s="21">
        <v>5651.62</v>
      </c>
    </row>
    <row r="173" spans="1:9" x14ac:dyDescent="0.45">
      <c r="A173" s="17" t="s">
        <v>314</v>
      </c>
      <c r="H173" s="22">
        <f>H163+H164+H165+H166+H167+H168+H169+H170+H171+H172</f>
        <v>5651.62</v>
      </c>
    </row>
    <row r="174" spans="1:9" ht="22.3" x14ac:dyDescent="0.45">
      <c r="A174" s="14" t="s">
        <v>315</v>
      </c>
      <c r="H174" s="22">
        <f>H173</f>
        <v>5651.62</v>
      </c>
    </row>
    <row r="175" spans="1:9" x14ac:dyDescent="0.45">
      <c r="A175" s="7" t="s">
        <v>79</v>
      </c>
    </row>
    <row r="176" spans="1:9" x14ac:dyDescent="0.45">
      <c r="A176" s="7" t="s">
        <v>82</v>
      </c>
    </row>
    <row r="177" spans="1:9" x14ac:dyDescent="0.45">
      <c r="B177" s="20" t="s">
        <v>247</v>
      </c>
      <c r="C177" s="20" t="s">
        <v>233</v>
      </c>
      <c r="D177" s="20" t="s">
        <v>316</v>
      </c>
      <c r="E177" s="20" t="s">
        <v>317</v>
      </c>
      <c r="F177" s="20" t="s">
        <v>318</v>
      </c>
      <c r="G177" s="20" t="s">
        <v>218</v>
      </c>
      <c r="H177" s="21">
        <v>2421</v>
      </c>
      <c r="I177" s="21">
        <v>2421</v>
      </c>
    </row>
    <row r="178" spans="1:9" x14ac:dyDescent="0.45">
      <c r="A178" s="17" t="s">
        <v>319</v>
      </c>
      <c r="H178" s="22">
        <f>H177</f>
        <v>2421</v>
      </c>
    </row>
    <row r="179" spans="1:9" x14ac:dyDescent="0.45">
      <c r="A179" s="14" t="s">
        <v>320</v>
      </c>
      <c r="H179" s="22">
        <f>H178</f>
        <v>2421</v>
      </c>
    </row>
    <row r="180" spans="1:9" x14ac:dyDescent="0.45">
      <c r="A180" s="15" t="s">
        <v>321</v>
      </c>
      <c r="H180" s="22">
        <f>H99+H102+H160+H174+H179</f>
        <v>16882.939999999999</v>
      </c>
    </row>
    <row r="181" spans="1:9" x14ac:dyDescent="0.45">
      <c r="A181" s="7" t="s">
        <v>85</v>
      </c>
    </row>
    <row r="182" spans="1:9" x14ac:dyDescent="0.45">
      <c r="A182" s="7" t="s">
        <v>86</v>
      </c>
    </row>
    <row r="183" spans="1:9" x14ac:dyDescent="0.45">
      <c r="A183" s="7" t="s">
        <v>88</v>
      </c>
    </row>
    <row r="184" spans="1:9" x14ac:dyDescent="0.45">
      <c r="B184" s="20" t="s">
        <v>247</v>
      </c>
      <c r="C184" s="20" t="s">
        <v>233</v>
      </c>
      <c r="D184" s="20" t="s">
        <v>322</v>
      </c>
      <c r="E184" s="20" t="s">
        <v>323</v>
      </c>
      <c r="F184" s="20" t="s">
        <v>324</v>
      </c>
      <c r="G184" s="20" t="s">
        <v>218</v>
      </c>
      <c r="H184" s="21">
        <v>432</v>
      </c>
      <c r="I184" s="21">
        <v>432</v>
      </c>
    </row>
    <row r="185" spans="1:9" x14ac:dyDescent="0.45">
      <c r="A185" s="17" t="s">
        <v>325</v>
      </c>
      <c r="H185" s="22">
        <f>H184</f>
        <v>432</v>
      </c>
    </row>
    <row r="186" spans="1:9" x14ac:dyDescent="0.45">
      <c r="A186" s="14" t="s">
        <v>326</v>
      </c>
      <c r="H186" s="22">
        <f>H185</f>
        <v>432</v>
      </c>
    </row>
    <row r="187" spans="1:9" x14ac:dyDescent="0.45">
      <c r="A187" s="7" t="s">
        <v>96</v>
      </c>
    </row>
    <row r="188" spans="1:9" x14ac:dyDescent="0.45">
      <c r="B188" s="20" t="s">
        <v>283</v>
      </c>
      <c r="C188" s="20" t="s">
        <v>233</v>
      </c>
      <c r="D188" s="20" t="s">
        <v>284</v>
      </c>
      <c r="E188" s="20" t="s">
        <v>327</v>
      </c>
      <c r="F188" s="20" t="s">
        <v>328</v>
      </c>
      <c r="G188" s="20" t="s">
        <v>218</v>
      </c>
      <c r="H188" s="21">
        <v>162.5</v>
      </c>
      <c r="I188" s="21">
        <v>162.5</v>
      </c>
    </row>
    <row r="189" spans="1:9" x14ac:dyDescent="0.45">
      <c r="B189" s="20" t="s">
        <v>283</v>
      </c>
      <c r="C189" s="20" t="s">
        <v>233</v>
      </c>
      <c r="D189" s="20" t="s">
        <v>284</v>
      </c>
      <c r="E189" s="20" t="s">
        <v>329</v>
      </c>
      <c r="F189" s="20" t="s">
        <v>330</v>
      </c>
      <c r="G189" s="20" t="s">
        <v>218</v>
      </c>
      <c r="H189" s="21">
        <v>23.32</v>
      </c>
      <c r="I189" s="21">
        <v>185.82</v>
      </c>
    </row>
    <row r="190" spans="1:9" x14ac:dyDescent="0.45">
      <c r="B190" s="20" t="s">
        <v>283</v>
      </c>
      <c r="C190" s="20" t="s">
        <v>233</v>
      </c>
      <c r="D190" s="20" t="s">
        <v>234</v>
      </c>
      <c r="E190" s="20" t="s">
        <v>327</v>
      </c>
      <c r="F190" s="20" t="s">
        <v>331</v>
      </c>
      <c r="G190" s="20" t="s">
        <v>218</v>
      </c>
      <c r="H190" s="21">
        <v>164.13</v>
      </c>
      <c r="I190" s="21">
        <v>349.95</v>
      </c>
    </row>
    <row r="191" spans="1:9" x14ac:dyDescent="0.45">
      <c r="A191" s="14" t="s">
        <v>332</v>
      </c>
      <c r="H191" s="22">
        <f>H188+H189+H190</f>
        <v>349.95</v>
      </c>
    </row>
    <row r="192" spans="1:9" x14ac:dyDescent="0.45">
      <c r="A192" s="15" t="s">
        <v>333</v>
      </c>
      <c r="H192" s="22">
        <f>H186+H191</f>
        <v>781.95</v>
      </c>
    </row>
    <row r="193" spans="1:9" x14ac:dyDescent="0.45">
      <c r="A193" s="7" t="s">
        <v>98</v>
      </c>
    </row>
    <row r="194" spans="1:9" x14ac:dyDescent="0.45">
      <c r="A194" s="7" t="s">
        <v>99</v>
      </c>
    </row>
    <row r="195" spans="1:9" x14ac:dyDescent="0.45">
      <c r="A195" s="7" t="s">
        <v>100</v>
      </c>
    </row>
    <row r="196" spans="1:9" x14ac:dyDescent="0.45">
      <c r="A196" s="7" t="s">
        <v>102</v>
      </c>
    </row>
    <row r="197" spans="1:9" x14ac:dyDescent="0.45">
      <c r="B197" s="20" t="s">
        <v>247</v>
      </c>
      <c r="C197" s="20" t="s">
        <v>233</v>
      </c>
      <c r="D197" s="20" t="s">
        <v>334</v>
      </c>
      <c r="E197" s="20" t="s">
        <v>335</v>
      </c>
      <c r="F197" s="20" t="s">
        <v>336</v>
      </c>
      <c r="G197" s="20" t="s">
        <v>218</v>
      </c>
      <c r="H197" s="21">
        <v>350</v>
      </c>
      <c r="I197" s="21">
        <v>350</v>
      </c>
    </row>
    <row r="198" spans="1:9" x14ac:dyDescent="0.45">
      <c r="A198" s="27" t="s">
        <v>337</v>
      </c>
      <c r="H198" s="22">
        <f>H197</f>
        <v>350</v>
      </c>
    </row>
    <row r="199" spans="1:9" x14ac:dyDescent="0.45">
      <c r="A199" s="7" t="s">
        <v>103</v>
      </c>
    </row>
    <row r="200" spans="1:9" x14ac:dyDescent="0.45">
      <c r="B200" s="20" t="s">
        <v>247</v>
      </c>
      <c r="C200" s="20" t="s">
        <v>233</v>
      </c>
      <c r="D200" s="20" t="s">
        <v>338</v>
      </c>
      <c r="E200" s="20" t="s">
        <v>339</v>
      </c>
      <c r="F200" s="20" t="s">
        <v>340</v>
      </c>
      <c r="G200" s="20" t="s">
        <v>218</v>
      </c>
      <c r="H200" s="21">
        <v>284.99</v>
      </c>
      <c r="I200" s="21">
        <v>284.99</v>
      </c>
    </row>
    <row r="201" spans="1:9" x14ac:dyDescent="0.45">
      <c r="B201" s="20" t="s">
        <v>247</v>
      </c>
      <c r="C201" s="20" t="s">
        <v>233</v>
      </c>
      <c r="D201" s="20" t="s">
        <v>341</v>
      </c>
      <c r="E201" s="20" t="s">
        <v>342</v>
      </c>
      <c r="F201" s="20" t="s">
        <v>343</v>
      </c>
      <c r="G201" s="20" t="s">
        <v>218</v>
      </c>
      <c r="H201" s="21">
        <v>47.55</v>
      </c>
      <c r="I201" s="21">
        <v>332.54</v>
      </c>
    </row>
    <row r="202" spans="1:9" x14ac:dyDescent="0.45">
      <c r="A202" s="27" t="s">
        <v>344</v>
      </c>
      <c r="H202" s="22">
        <f>H200+H201</f>
        <v>332.54</v>
      </c>
    </row>
    <row r="203" spans="1:9" x14ac:dyDescent="0.45">
      <c r="A203" s="7" t="s">
        <v>104</v>
      </c>
    </row>
    <row r="204" spans="1:9" x14ac:dyDescent="0.45">
      <c r="B204" s="20" t="s">
        <v>283</v>
      </c>
      <c r="C204" s="20" t="s">
        <v>233</v>
      </c>
      <c r="D204" s="20" t="s">
        <v>284</v>
      </c>
      <c r="E204" s="20" t="s">
        <v>285</v>
      </c>
      <c r="F204" s="20" t="s">
        <v>345</v>
      </c>
      <c r="G204" s="20" t="s">
        <v>218</v>
      </c>
      <c r="H204" s="21">
        <v>40.86</v>
      </c>
      <c r="I204" s="21">
        <v>40.86</v>
      </c>
    </row>
    <row r="205" spans="1:9" x14ac:dyDescent="0.45">
      <c r="A205" s="27" t="s">
        <v>106</v>
      </c>
      <c r="H205" s="22">
        <f>H204</f>
        <v>40.86</v>
      </c>
    </row>
    <row r="206" spans="1:9" x14ac:dyDescent="0.45">
      <c r="A206" s="7" t="s">
        <v>105</v>
      </c>
    </row>
    <row r="207" spans="1:9" x14ac:dyDescent="0.45">
      <c r="B207" s="20" t="s">
        <v>283</v>
      </c>
      <c r="C207" s="20" t="s">
        <v>233</v>
      </c>
      <c r="D207" s="20" t="s">
        <v>284</v>
      </c>
      <c r="E207" s="20" t="s">
        <v>285</v>
      </c>
      <c r="F207" s="20" t="s">
        <v>346</v>
      </c>
      <c r="G207" s="20" t="s">
        <v>218</v>
      </c>
      <c r="H207" s="21">
        <v>170.38</v>
      </c>
      <c r="I207" s="21">
        <v>170.38</v>
      </c>
    </row>
    <row r="208" spans="1:9" x14ac:dyDescent="0.45">
      <c r="A208" s="28" t="s">
        <v>347</v>
      </c>
      <c r="H208" s="22">
        <f>H207</f>
        <v>170.38</v>
      </c>
    </row>
    <row r="209" spans="1:9" x14ac:dyDescent="0.45">
      <c r="A209" s="27" t="s">
        <v>348</v>
      </c>
      <c r="H209" s="22">
        <f>H205+H208</f>
        <v>211.24</v>
      </c>
    </row>
    <row r="210" spans="1:9" x14ac:dyDescent="0.45">
      <c r="A210" s="7" t="s">
        <v>107</v>
      </c>
    </row>
    <row r="211" spans="1:9" x14ac:dyDescent="0.45">
      <c r="B211" s="20" t="s">
        <v>283</v>
      </c>
      <c r="C211" s="20" t="s">
        <v>233</v>
      </c>
      <c r="D211" s="20" t="s">
        <v>284</v>
      </c>
      <c r="E211" s="20" t="s">
        <v>327</v>
      </c>
      <c r="F211" s="20" t="s">
        <v>349</v>
      </c>
      <c r="G211" s="20" t="s">
        <v>218</v>
      </c>
      <c r="H211" s="21">
        <v>101.23</v>
      </c>
      <c r="I211" s="21">
        <v>101.23</v>
      </c>
    </row>
    <row r="212" spans="1:9" x14ac:dyDescent="0.45">
      <c r="B212" s="20" t="s">
        <v>283</v>
      </c>
      <c r="C212" s="20" t="s">
        <v>233</v>
      </c>
      <c r="D212" s="20" t="s">
        <v>234</v>
      </c>
      <c r="E212" s="20" t="s">
        <v>327</v>
      </c>
      <c r="F212" s="20" t="s">
        <v>350</v>
      </c>
      <c r="G212" s="20" t="s">
        <v>218</v>
      </c>
      <c r="H212" s="21">
        <v>97.1</v>
      </c>
      <c r="I212" s="21">
        <v>198.32999999999998</v>
      </c>
    </row>
    <row r="213" spans="1:9" x14ac:dyDescent="0.45">
      <c r="A213" s="27" t="s">
        <v>351</v>
      </c>
      <c r="H213" s="22">
        <f>H211+H212</f>
        <v>198.32999999999998</v>
      </c>
    </row>
    <row r="214" spans="1:9" ht="22.3" x14ac:dyDescent="0.45">
      <c r="A214" s="17" t="s">
        <v>352</v>
      </c>
      <c r="H214" s="22">
        <f>H198+H202+H209+H213</f>
        <v>1092.1099999999999</v>
      </c>
    </row>
    <row r="215" spans="1:9" ht="22.3" x14ac:dyDescent="0.45">
      <c r="A215" s="14" t="s">
        <v>353</v>
      </c>
      <c r="H215" s="22">
        <f>H214</f>
        <v>1092.1099999999999</v>
      </c>
    </row>
    <row r="216" spans="1:9" x14ac:dyDescent="0.45">
      <c r="A216" s="7" t="s">
        <v>110</v>
      </c>
    </row>
    <row r="217" spans="1:9" x14ac:dyDescent="0.45">
      <c r="A217" s="7" t="s">
        <v>111</v>
      </c>
    </row>
    <row r="218" spans="1:9" x14ac:dyDescent="0.45">
      <c r="A218" s="7" t="s">
        <v>112</v>
      </c>
    </row>
    <row r="219" spans="1:9" x14ac:dyDescent="0.45">
      <c r="B219" s="20" t="s">
        <v>247</v>
      </c>
      <c r="C219" s="20" t="s">
        <v>233</v>
      </c>
      <c r="D219" s="20" t="s">
        <v>354</v>
      </c>
      <c r="E219" s="20" t="s">
        <v>355</v>
      </c>
      <c r="F219" s="20" t="s">
        <v>356</v>
      </c>
      <c r="G219" s="20" t="s">
        <v>218</v>
      </c>
      <c r="H219" s="21">
        <v>66.06</v>
      </c>
      <c r="I219" s="21">
        <v>66.06</v>
      </c>
    </row>
    <row r="220" spans="1:9" x14ac:dyDescent="0.45">
      <c r="A220" s="27" t="s">
        <v>357</v>
      </c>
      <c r="H220" s="22">
        <f>H219</f>
        <v>66.06</v>
      </c>
    </row>
    <row r="221" spans="1:9" x14ac:dyDescent="0.45">
      <c r="A221" s="7" t="s">
        <v>116</v>
      </c>
    </row>
    <row r="222" spans="1:9" x14ac:dyDescent="0.45">
      <c r="B222" s="20" t="s">
        <v>247</v>
      </c>
      <c r="C222" s="20" t="s">
        <v>233</v>
      </c>
      <c r="D222" s="20" t="s">
        <v>358</v>
      </c>
      <c r="E222" s="20" t="s">
        <v>359</v>
      </c>
      <c r="F222" s="20" t="s">
        <v>116</v>
      </c>
      <c r="G222" s="20" t="s">
        <v>218</v>
      </c>
      <c r="H222" s="21">
        <v>648.70000000000005</v>
      </c>
      <c r="I222" s="21">
        <v>648.70000000000005</v>
      </c>
    </row>
    <row r="223" spans="1:9" x14ac:dyDescent="0.45">
      <c r="A223" s="27" t="s">
        <v>360</v>
      </c>
      <c r="H223" s="22">
        <f>H222</f>
        <v>648.70000000000005</v>
      </c>
    </row>
    <row r="224" spans="1:9" x14ac:dyDescent="0.45">
      <c r="A224" s="17" t="s">
        <v>361</v>
      </c>
      <c r="H224" s="22">
        <f>H220+H223</f>
        <v>714.76</v>
      </c>
    </row>
    <row r="225" spans="1:9" x14ac:dyDescent="0.45">
      <c r="A225" s="7" t="s">
        <v>126</v>
      </c>
    </row>
    <row r="226" spans="1:9" x14ac:dyDescent="0.45">
      <c r="A226" s="7" t="s">
        <v>127</v>
      </c>
    </row>
    <row r="227" spans="1:9" x14ac:dyDescent="0.45">
      <c r="B227" s="20" t="s">
        <v>232</v>
      </c>
      <c r="C227" s="20" t="s">
        <v>233</v>
      </c>
      <c r="D227" s="20" t="s">
        <v>234</v>
      </c>
      <c r="E227" s="20" t="s">
        <v>362</v>
      </c>
      <c r="F227" s="20" t="s">
        <v>363</v>
      </c>
      <c r="G227" s="20" t="s">
        <v>218</v>
      </c>
      <c r="H227" s="21">
        <v>-435.6</v>
      </c>
      <c r="I227" s="21">
        <v>-435.6</v>
      </c>
    </row>
    <row r="228" spans="1:9" x14ac:dyDescent="0.45">
      <c r="B228" s="20" t="s">
        <v>232</v>
      </c>
      <c r="C228" s="20" t="s">
        <v>233</v>
      </c>
      <c r="D228" s="20" t="s">
        <v>234</v>
      </c>
      <c r="E228" s="20" t="s">
        <v>362</v>
      </c>
      <c r="F228" s="20" t="s">
        <v>364</v>
      </c>
      <c r="G228" s="20" t="s">
        <v>218</v>
      </c>
      <c r="H228" s="21">
        <v>-44.52</v>
      </c>
      <c r="I228" s="21">
        <v>-480.12</v>
      </c>
    </row>
    <row r="229" spans="1:9" x14ac:dyDescent="0.45">
      <c r="B229" s="20" t="s">
        <v>365</v>
      </c>
      <c r="C229" s="20" t="s">
        <v>233</v>
      </c>
      <c r="D229" s="20" t="s">
        <v>234</v>
      </c>
      <c r="E229" s="20" t="s">
        <v>364</v>
      </c>
      <c r="F229" s="20" t="s">
        <v>366</v>
      </c>
      <c r="G229" s="20" t="s">
        <v>218</v>
      </c>
      <c r="H229" s="21">
        <v>44.52</v>
      </c>
      <c r="I229" s="21">
        <v>-435.6</v>
      </c>
    </row>
    <row r="230" spans="1:9" x14ac:dyDescent="0.45">
      <c r="B230" s="20" t="s">
        <v>367</v>
      </c>
      <c r="C230" s="20" t="s">
        <v>233</v>
      </c>
      <c r="D230" s="20" t="s">
        <v>234</v>
      </c>
      <c r="E230" s="20" t="s">
        <v>364</v>
      </c>
      <c r="F230" s="20" t="s">
        <v>366</v>
      </c>
      <c r="G230" s="20" t="s">
        <v>218</v>
      </c>
      <c r="H230" s="21">
        <v>44.52</v>
      </c>
      <c r="I230" s="21">
        <v>-391.08000000000004</v>
      </c>
    </row>
    <row r="231" spans="1:9" x14ac:dyDescent="0.45">
      <c r="A231" s="27" t="s">
        <v>368</v>
      </c>
      <c r="H231" s="22">
        <f>H227+H228+H229+H230</f>
        <v>-391.08000000000004</v>
      </c>
    </row>
    <row r="232" spans="1:9" x14ac:dyDescent="0.45">
      <c r="A232" s="7" t="s">
        <v>128</v>
      </c>
    </row>
    <row r="233" spans="1:9" x14ac:dyDescent="0.45">
      <c r="B233" s="20" t="s">
        <v>232</v>
      </c>
      <c r="C233" s="20" t="s">
        <v>233</v>
      </c>
      <c r="D233" s="20" t="s">
        <v>234</v>
      </c>
      <c r="E233" s="20" t="s">
        <v>369</v>
      </c>
      <c r="F233" s="20" t="s">
        <v>370</v>
      </c>
      <c r="G233" s="20" t="s">
        <v>218</v>
      </c>
      <c r="H233" s="21">
        <v>85.25</v>
      </c>
      <c r="I233" s="21">
        <v>85.25</v>
      </c>
    </row>
    <row r="234" spans="1:9" x14ac:dyDescent="0.45">
      <c r="B234" s="20" t="s">
        <v>232</v>
      </c>
      <c r="C234" s="20" t="s">
        <v>233</v>
      </c>
      <c r="D234" s="20" t="s">
        <v>234</v>
      </c>
      <c r="E234" s="20" t="s">
        <v>369</v>
      </c>
      <c r="F234" s="20" t="s">
        <v>237</v>
      </c>
      <c r="G234" s="20" t="s">
        <v>218</v>
      </c>
      <c r="H234" s="21">
        <v>-1.24</v>
      </c>
      <c r="I234" s="21">
        <v>84.01</v>
      </c>
    </row>
    <row r="235" spans="1:9" x14ac:dyDescent="0.45">
      <c r="B235" s="20" t="s">
        <v>232</v>
      </c>
      <c r="C235" s="20" t="s">
        <v>233</v>
      </c>
      <c r="D235" s="20" t="s">
        <v>234</v>
      </c>
      <c r="E235" s="20" t="s">
        <v>369</v>
      </c>
      <c r="F235" s="20" t="s">
        <v>244</v>
      </c>
      <c r="G235" s="20" t="s">
        <v>218</v>
      </c>
      <c r="H235" s="21">
        <v>-5.29</v>
      </c>
      <c r="I235" s="21">
        <v>78.72</v>
      </c>
    </row>
    <row r="236" spans="1:9" x14ac:dyDescent="0.45">
      <c r="B236" s="20" t="s">
        <v>232</v>
      </c>
      <c r="C236" s="20" t="s">
        <v>233</v>
      </c>
      <c r="D236" s="20" t="s">
        <v>234</v>
      </c>
      <c r="E236" s="20" t="s">
        <v>245</v>
      </c>
      <c r="F236" s="20" t="s">
        <v>371</v>
      </c>
      <c r="G236" s="20" t="s">
        <v>199</v>
      </c>
      <c r="H236" s="21">
        <v>71.099999999999994</v>
      </c>
      <c r="I236" s="21">
        <v>149.82</v>
      </c>
    </row>
    <row r="237" spans="1:9" x14ac:dyDescent="0.45">
      <c r="B237" s="20" t="s">
        <v>247</v>
      </c>
      <c r="C237" s="20" t="s">
        <v>233</v>
      </c>
      <c r="D237" s="20" t="s">
        <v>372</v>
      </c>
      <c r="E237" s="20" t="s">
        <v>373</v>
      </c>
      <c r="F237" s="20" t="s">
        <v>374</v>
      </c>
      <c r="G237" s="20" t="s">
        <v>218</v>
      </c>
      <c r="H237" s="21">
        <v>417.73</v>
      </c>
      <c r="I237" s="21">
        <v>567.54999999999995</v>
      </c>
    </row>
    <row r="238" spans="1:9" x14ac:dyDescent="0.45">
      <c r="B238" s="20" t="s">
        <v>247</v>
      </c>
      <c r="C238" s="20" t="s">
        <v>233</v>
      </c>
      <c r="D238" s="20" t="s">
        <v>372</v>
      </c>
      <c r="E238" s="20" t="s">
        <v>373</v>
      </c>
      <c r="F238" s="20" t="s">
        <v>237</v>
      </c>
      <c r="G238" s="20" t="s">
        <v>218</v>
      </c>
      <c r="H238" s="21">
        <v>-6.06</v>
      </c>
      <c r="I238" s="21">
        <v>561.49</v>
      </c>
    </row>
    <row r="239" spans="1:9" x14ac:dyDescent="0.45">
      <c r="B239" s="20" t="s">
        <v>247</v>
      </c>
      <c r="C239" s="20" t="s">
        <v>233</v>
      </c>
      <c r="D239" s="20" t="s">
        <v>372</v>
      </c>
      <c r="E239" s="20" t="s">
        <v>373</v>
      </c>
      <c r="F239" s="20" t="s">
        <v>244</v>
      </c>
      <c r="G239" s="20" t="s">
        <v>218</v>
      </c>
      <c r="H239" s="21">
        <v>-25.9</v>
      </c>
      <c r="I239" s="21">
        <v>535.59</v>
      </c>
    </row>
    <row r="240" spans="1:9" x14ac:dyDescent="0.45">
      <c r="B240" s="20" t="s">
        <v>213</v>
      </c>
      <c r="C240" s="20" t="s">
        <v>233</v>
      </c>
      <c r="D240" s="20" t="s">
        <v>234</v>
      </c>
      <c r="E240" s="20" t="s">
        <v>245</v>
      </c>
      <c r="F240" s="20" t="s">
        <v>371</v>
      </c>
      <c r="G240" s="20" t="s">
        <v>199</v>
      </c>
      <c r="H240" s="21">
        <v>76.95</v>
      </c>
      <c r="I240" s="21">
        <v>612.54000000000008</v>
      </c>
    </row>
    <row r="241" spans="1:9" x14ac:dyDescent="0.45">
      <c r="A241" s="27" t="s">
        <v>375</v>
      </c>
      <c r="H241" s="22">
        <f>H233+H234+H235+H236+H237+H238+H239+H240</f>
        <v>612.54000000000008</v>
      </c>
    </row>
    <row r="242" spans="1:9" x14ac:dyDescent="0.45">
      <c r="A242" s="7" t="s">
        <v>129</v>
      </c>
    </row>
    <row r="243" spans="1:9" x14ac:dyDescent="0.45">
      <c r="B243" s="20" t="s">
        <v>232</v>
      </c>
      <c r="C243" s="20" t="s">
        <v>233</v>
      </c>
      <c r="D243" s="20" t="s">
        <v>234</v>
      </c>
      <c r="E243" s="20" t="s">
        <v>362</v>
      </c>
      <c r="F243" s="20" t="s">
        <v>376</v>
      </c>
      <c r="G243" s="20" t="s">
        <v>218</v>
      </c>
      <c r="H243" s="21">
        <v>6441.6</v>
      </c>
      <c r="I243" s="21">
        <v>6441.6</v>
      </c>
    </row>
    <row r="244" spans="1:9" x14ac:dyDescent="0.45">
      <c r="B244" s="20" t="s">
        <v>232</v>
      </c>
      <c r="C244" s="20" t="s">
        <v>233</v>
      </c>
      <c r="D244" s="20" t="s">
        <v>234</v>
      </c>
      <c r="E244" s="20" t="s">
        <v>362</v>
      </c>
      <c r="F244" s="20" t="s">
        <v>237</v>
      </c>
      <c r="G244" s="20" t="s">
        <v>218</v>
      </c>
      <c r="H244" s="21">
        <v>-119.08</v>
      </c>
      <c r="I244" s="21">
        <v>6322.52</v>
      </c>
    </row>
    <row r="245" spans="1:9" x14ac:dyDescent="0.45">
      <c r="B245" s="20" t="s">
        <v>232</v>
      </c>
      <c r="C245" s="20" t="s">
        <v>233</v>
      </c>
      <c r="D245" s="20" t="s">
        <v>234</v>
      </c>
      <c r="E245" s="20" t="s">
        <v>362</v>
      </c>
      <c r="F245" s="20" t="s">
        <v>244</v>
      </c>
      <c r="G245" s="20" t="s">
        <v>218</v>
      </c>
      <c r="H245" s="21">
        <v>-509.15</v>
      </c>
      <c r="I245" s="21">
        <v>5813.3700000000008</v>
      </c>
    </row>
    <row r="246" spans="1:9" x14ac:dyDescent="0.45">
      <c r="B246" s="20" t="s">
        <v>232</v>
      </c>
      <c r="C246" s="20" t="s">
        <v>233</v>
      </c>
      <c r="D246" s="20" t="s">
        <v>234</v>
      </c>
      <c r="E246" s="20" t="s">
        <v>362</v>
      </c>
      <c r="F246" s="20" t="s">
        <v>377</v>
      </c>
      <c r="G246" s="20" t="s">
        <v>218</v>
      </c>
      <c r="H246" s="21">
        <v>-594</v>
      </c>
      <c r="I246" s="21">
        <v>5219.3700000000008</v>
      </c>
    </row>
    <row r="247" spans="1:9" x14ac:dyDescent="0.45">
      <c r="B247" s="20" t="s">
        <v>232</v>
      </c>
      <c r="C247" s="20" t="s">
        <v>233</v>
      </c>
      <c r="D247" s="20" t="s">
        <v>234</v>
      </c>
      <c r="E247" s="20" t="s">
        <v>362</v>
      </c>
      <c r="F247" s="20" t="s">
        <v>263</v>
      </c>
      <c r="G247" s="20" t="s">
        <v>218</v>
      </c>
      <c r="H247" s="21">
        <v>-374.76</v>
      </c>
      <c r="I247" s="21">
        <v>4844.6100000000006</v>
      </c>
    </row>
    <row r="248" spans="1:9" x14ac:dyDescent="0.45">
      <c r="B248" s="20" t="s">
        <v>232</v>
      </c>
      <c r="C248" s="20" t="s">
        <v>233</v>
      </c>
      <c r="D248" s="20" t="s">
        <v>234</v>
      </c>
      <c r="E248" s="20" t="s">
        <v>245</v>
      </c>
      <c r="F248" s="20" t="s">
        <v>378</v>
      </c>
      <c r="G248" s="20" t="s">
        <v>199</v>
      </c>
      <c r="H248" s="21">
        <v>1750.06</v>
      </c>
      <c r="I248" s="21">
        <v>6594.67</v>
      </c>
    </row>
    <row r="249" spans="1:9" x14ac:dyDescent="0.45">
      <c r="B249" s="20" t="s">
        <v>265</v>
      </c>
      <c r="C249" s="20" t="s">
        <v>233</v>
      </c>
      <c r="D249" s="20" t="s">
        <v>234</v>
      </c>
      <c r="E249" s="20" t="s">
        <v>266</v>
      </c>
      <c r="F249" s="20" t="s">
        <v>379</v>
      </c>
      <c r="G249" s="20" t="s">
        <v>218</v>
      </c>
      <c r="H249" s="21">
        <v>356.3</v>
      </c>
      <c r="I249" s="21">
        <v>6950.97</v>
      </c>
    </row>
    <row r="250" spans="1:9" x14ac:dyDescent="0.45">
      <c r="B250" s="20" t="s">
        <v>213</v>
      </c>
      <c r="C250" s="20" t="s">
        <v>233</v>
      </c>
      <c r="D250" s="20" t="s">
        <v>234</v>
      </c>
      <c r="E250" s="20" t="s">
        <v>245</v>
      </c>
      <c r="F250" s="20" t="s">
        <v>378</v>
      </c>
      <c r="G250" s="20" t="s">
        <v>199</v>
      </c>
      <c r="H250" s="21">
        <v>1850.46</v>
      </c>
      <c r="I250" s="21">
        <v>8801.43</v>
      </c>
    </row>
    <row r="251" spans="1:9" x14ac:dyDescent="0.45">
      <c r="B251" s="20" t="s">
        <v>213</v>
      </c>
      <c r="C251" s="20" t="s">
        <v>233</v>
      </c>
      <c r="D251" s="20" t="s">
        <v>234</v>
      </c>
      <c r="E251" s="20" t="s">
        <v>266</v>
      </c>
      <c r="F251" s="20" t="s">
        <v>379</v>
      </c>
      <c r="G251" s="20" t="s">
        <v>218</v>
      </c>
      <c r="H251" s="21">
        <v>374.75</v>
      </c>
      <c r="I251" s="21">
        <v>9176.18</v>
      </c>
    </row>
    <row r="252" spans="1:9" x14ac:dyDescent="0.45">
      <c r="A252" s="27" t="s">
        <v>380</v>
      </c>
      <c r="H252" s="22">
        <f>H243+H244+H245+H246+H247+H248+H249+H250+H251</f>
        <v>9176.18</v>
      </c>
    </row>
    <row r="253" spans="1:9" x14ac:dyDescent="0.45">
      <c r="A253" s="7" t="s">
        <v>130</v>
      </c>
    </row>
    <row r="254" spans="1:9" x14ac:dyDescent="0.45">
      <c r="B254" s="20" t="s">
        <v>232</v>
      </c>
      <c r="C254" s="20" t="s">
        <v>233</v>
      </c>
      <c r="D254" s="20" t="s">
        <v>234</v>
      </c>
      <c r="E254" s="20" t="s">
        <v>362</v>
      </c>
      <c r="F254" s="20" t="s">
        <v>381</v>
      </c>
      <c r="G254" s="20" t="s">
        <v>218</v>
      </c>
      <c r="H254" s="21">
        <v>1770.53</v>
      </c>
      <c r="I254" s="21">
        <v>1770.53</v>
      </c>
    </row>
    <row r="255" spans="1:9" x14ac:dyDescent="0.45">
      <c r="A255" s="27" t="s">
        <v>382</v>
      </c>
      <c r="H255" s="22">
        <f>H254</f>
        <v>1770.53</v>
      </c>
    </row>
    <row r="256" spans="1:9" x14ac:dyDescent="0.45">
      <c r="A256" s="7" t="s">
        <v>131</v>
      </c>
    </row>
    <row r="257" spans="1:9" x14ac:dyDescent="0.45">
      <c r="B257" s="20" t="s">
        <v>232</v>
      </c>
      <c r="C257" s="20" t="s">
        <v>233</v>
      </c>
      <c r="D257" s="20" t="s">
        <v>234</v>
      </c>
      <c r="E257" s="20" t="s">
        <v>362</v>
      </c>
      <c r="F257" s="20" t="s">
        <v>268</v>
      </c>
      <c r="G257" s="20" t="s">
        <v>218</v>
      </c>
      <c r="H257" s="21">
        <v>-591.27</v>
      </c>
      <c r="I257" s="21">
        <v>-591.27</v>
      </c>
    </row>
    <row r="258" spans="1:9" x14ac:dyDescent="0.45">
      <c r="A258" s="27" t="s">
        <v>383</v>
      </c>
      <c r="H258" s="22">
        <f>H257</f>
        <v>-591.27</v>
      </c>
    </row>
    <row r="259" spans="1:9" ht="22.3" x14ac:dyDescent="0.45">
      <c r="A259" s="17" t="s">
        <v>384</v>
      </c>
      <c r="H259" s="22">
        <f>H231+H241+H252+H255+H258</f>
        <v>10576.9</v>
      </c>
    </row>
    <row r="260" spans="1:9" x14ac:dyDescent="0.45">
      <c r="A260" s="7" t="s">
        <v>133</v>
      </c>
    </row>
    <row r="261" spans="1:9" x14ac:dyDescent="0.45">
      <c r="B261" s="20" t="s">
        <v>247</v>
      </c>
      <c r="C261" s="20" t="s">
        <v>233</v>
      </c>
      <c r="D261" s="20" t="s">
        <v>338</v>
      </c>
      <c r="E261" s="20" t="s">
        <v>339</v>
      </c>
      <c r="F261" s="20" t="s">
        <v>385</v>
      </c>
      <c r="G261" s="20" t="s">
        <v>218</v>
      </c>
      <c r="H261" s="20"/>
      <c r="I261" s="20"/>
    </row>
    <row r="262" spans="1:9" x14ac:dyDescent="0.45">
      <c r="B262" s="20" t="s">
        <v>247</v>
      </c>
      <c r="C262" s="20" t="s">
        <v>233</v>
      </c>
      <c r="D262" s="20" t="s">
        <v>386</v>
      </c>
      <c r="E262" s="20" t="s">
        <v>387</v>
      </c>
      <c r="F262" s="20" t="s">
        <v>175</v>
      </c>
      <c r="G262" s="20" t="s">
        <v>218</v>
      </c>
      <c r="H262" s="20"/>
      <c r="I262" s="20"/>
    </row>
    <row r="263" spans="1:9" x14ac:dyDescent="0.45">
      <c r="B263" s="20" t="s">
        <v>247</v>
      </c>
      <c r="C263" s="20" t="s">
        <v>233</v>
      </c>
      <c r="D263" s="20" t="s">
        <v>341</v>
      </c>
      <c r="E263" s="20" t="s">
        <v>342</v>
      </c>
      <c r="F263" s="20" t="s">
        <v>388</v>
      </c>
      <c r="G263" s="20" t="s">
        <v>218</v>
      </c>
      <c r="H263" s="20"/>
      <c r="I263" s="20"/>
    </row>
    <row r="264" spans="1:9" x14ac:dyDescent="0.45">
      <c r="A264" s="17" t="s">
        <v>136</v>
      </c>
      <c r="H264" s="22">
        <f>H261+H262+H263</f>
        <v>0</v>
      </c>
    </row>
    <row r="265" spans="1:9" x14ac:dyDescent="0.45">
      <c r="A265" s="7" t="s">
        <v>135</v>
      </c>
    </row>
    <row r="266" spans="1:9" x14ac:dyDescent="0.45">
      <c r="B266" s="20" t="s">
        <v>247</v>
      </c>
      <c r="C266" s="20" t="s">
        <v>233</v>
      </c>
      <c r="D266" s="20" t="s">
        <v>389</v>
      </c>
      <c r="E266" s="20" t="s">
        <v>390</v>
      </c>
      <c r="F266" s="20" t="s">
        <v>391</v>
      </c>
      <c r="G266" s="20" t="s">
        <v>218</v>
      </c>
      <c r="H266" s="21">
        <v>5320.01</v>
      </c>
      <c r="I266" s="21">
        <v>5320.01</v>
      </c>
    </row>
    <row r="267" spans="1:9" x14ac:dyDescent="0.45">
      <c r="A267" s="27" t="s">
        <v>392</v>
      </c>
      <c r="H267" s="22">
        <f>H266</f>
        <v>5320.01</v>
      </c>
    </row>
    <row r="268" spans="1:9" ht="22.3" x14ac:dyDescent="0.45">
      <c r="A268" s="17" t="s">
        <v>393</v>
      </c>
      <c r="H268" s="22">
        <f>H264+H267</f>
        <v>5320.01</v>
      </c>
    </row>
    <row r="269" spans="1:9" ht="22.3" x14ac:dyDescent="0.45">
      <c r="A269" s="14" t="s">
        <v>394</v>
      </c>
      <c r="H269" s="22">
        <f>H224+H259+H268</f>
        <v>16611.669999999998</v>
      </c>
    </row>
    <row r="270" spans="1:9" ht="22.3" x14ac:dyDescent="0.45">
      <c r="A270" s="15" t="s">
        <v>395</v>
      </c>
      <c r="H270" s="22">
        <f>H215+H269</f>
        <v>17703.78</v>
      </c>
    </row>
    <row r="271" spans="1:9" x14ac:dyDescent="0.45">
      <c r="A271" s="7" t="s">
        <v>144</v>
      </c>
    </row>
    <row r="272" spans="1:9" x14ac:dyDescent="0.45">
      <c r="A272" s="7" t="s">
        <v>145</v>
      </c>
    </row>
    <row r="273" spans="1:9" x14ac:dyDescent="0.45">
      <c r="A273" s="7" t="s">
        <v>147</v>
      </c>
    </row>
    <row r="274" spans="1:9" x14ac:dyDescent="0.45">
      <c r="B274" s="20" t="s">
        <v>232</v>
      </c>
      <c r="C274" s="20" t="s">
        <v>233</v>
      </c>
      <c r="D274" s="20" t="s">
        <v>234</v>
      </c>
      <c r="E274" s="20" t="s">
        <v>214</v>
      </c>
      <c r="F274" s="20" t="s">
        <v>434</v>
      </c>
      <c r="G274" s="20" t="s">
        <v>199</v>
      </c>
      <c r="H274" s="21">
        <v>691.24</v>
      </c>
      <c r="I274" s="21">
        <f>+H274</f>
        <v>691.24</v>
      </c>
    </row>
    <row r="275" spans="1:9" x14ac:dyDescent="0.45">
      <c r="A275" s="17" t="s">
        <v>396</v>
      </c>
      <c r="H275" s="22">
        <f>H274</f>
        <v>691.24</v>
      </c>
    </row>
    <row r="276" spans="1:9" x14ac:dyDescent="0.45">
      <c r="A276" s="14" t="s">
        <v>397</v>
      </c>
      <c r="H276" s="22">
        <f>H275</f>
        <v>691.24</v>
      </c>
    </row>
    <row r="277" spans="1:9" x14ac:dyDescent="0.45">
      <c r="A277" s="7" t="s">
        <v>150</v>
      </c>
    </row>
    <row r="278" spans="1:9" x14ac:dyDescent="0.45">
      <c r="A278" s="7" t="s">
        <v>152</v>
      </c>
    </row>
    <row r="279" spans="1:9" x14ac:dyDescent="0.45">
      <c r="B279" s="20" t="s">
        <v>202</v>
      </c>
      <c r="C279" s="20" t="s">
        <v>233</v>
      </c>
      <c r="D279" s="20" t="s">
        <v>234</v>
      </c>
      <c r="E279" s="20" t="s">
        <v>214</v>
      </c>
      <c r="F279" s="20" t="s">
        <v>434</v>
      </c>
      <c r="G279" s="20" t="s">
        <v>218</v>
      </c>
      <c r="H279" s="21">
        <v>3327.53</v>
      </c>
      <c r="I279" s="21">
        <f>+H279</f>
        <v>3327.53</v>
      </c>
    </row>
    <row r="280" spans="1:9" x14ac:dyDescent="0.45">
      <c r="A280" s="17" t="s">
        <v>398</v>
      </c>
      <c r="H280" s="22">
        <f>H279</f>
        <v>3327.53</v>
      </c>
    </row>
    <row r="281" spans="1:9" x14ac:dyDescent="0.45">
      <c r="A281" s="14" t="s">
        <v>399</v>
      </c>
      <c r="H281" s="22">
        <f>H280</f>
        <v>3327.53</v>
      </c>
    </row>
    <row r="282" spans="1:9" ht="22.3" x14ac:dyDescent="0.45">
      <c r="A282" s="15" t="s">
        <v>400</v>
      </c>
      <c r="H282" s="22">
        <f>H276+H281</f>
        <v>4018.7700000000004</v>
      </c>
    </row>
    <row r="283" spans="1:9" x14ac:dyDescent="0.45">
      <c r="A283" s="7" t="s">
        <v>156</v>
      </c>
    </row>
    <row r="284" spans="1:9" x14ac:dyDescent="0.45">
      <c r="B284" s="20" t="s">
        <v>247</v>
      </c>
      <c r="C284" s="20" t="s">
        <v>233</v>
      </c>
      <c r="D284" s="20" t="s">
        <v>401</v>
      </c>
      <c r="E284" s="20" t="s">
        <v>402</v>
      </c>
      <c r="F284" s="20" t="s">
        <v>307</v>
      </c>
      <c r="G284" s="20" t="s">
        <v>218</v>
      </c>
      <c r="H284" s="21">
        <v>922.01</v>
      </c>
      <c r="I284" s="21">
        <v>922.01</v>
      </c>
    </row>
    <row r="285" spans="1:9" x14ac:dyDescent="0.45">
      <c r="A285" s="15" t="s">
        <v>403</v>
      </c>
      <c r="H285" s="22">
        <f>H284</f>
        <v>922.01</v>
      </c>
    </row>
    <row r="286" spans="1:9" x14ac:dyDescent="0.45">
      <c r="A286" s="7" t="s">
        <v>157</v>
      </c>
    </row>
    <row r="287" spans="1:9" x14ac:dyDescent="0.45">
      <c r="A287" s="7" t="s">
        <v>158</v>
      </c>
    </row>
    <row r="288" spans="1:9" x14ac:dyDescent="0.45">
      <c r="B288" s="20" t="s">
        <v>232</v>
      </c>
      <c r="C288" s="20" t="s">
        <v>233</v>
      </c>
      <c r="D288" s="20" t="s">
        <v>234</v>
      </c>
      <c r="E288" s="20" t="s">
        <v>369</v>
      </c>
      <c r="F288" s="20" t="s">
        <v>404</v>
      </c>
      <c r="G288" s="20" t="s">
        <v>218</v>
      </c>
      <c r="H288" s="21">
        <v>596.16</v>
      </c>
      <c r="I288" s="21">
        <v>596.16</v>
      </c>
    </row>
    <row r="289" spans="1:9" x14ac:dyDescent="0.45">
      <c r="B289" s="20" t="s">
        <v>232</v>
      </c>
      <c r="C289" s="20" t="s">
        <v>233</v>
      </c>
      <c r="D289" s="20" t="s">
        <v>234</v>
      </c>
      <c r="E289" s="20" t="s">
        <v>369</v>
      </c>
      <c r="F289" s="20" t="s">
        <v>237</v>
      </c>
      <c r="G289" s="20" t="s">
        <v>218</v>
      </c>
      <c r="H289" s="21">
        <v>-8.76</v>
      </c>
      <c r="I289" s="21">
        <v>587.4</v>
      </c>
    </row>
    <row r="290" spans="1:9" x14ac:dyDescent="0.45">
      <c r="B290" s="20" t="s">
        <v>232</v>
      </c>
      <c r="C290" s="20" t="s">
        <v>233</v>
      </c>
      <c r="D290" s="20" t="s">
        <v>234</v>
      </c>
      <c r="E290" s="20" t="s">
        <v>369</v>
      </c>
      <c r="F290" s="20" t="s">
        <v>244</v>
      </c>
      <c r="G290" s="20" t="s">
        <v>218</v>
      </c>
      <c r="H290" s="21">
        <v>-37.450000000000003</v>
      </c>
      <c r="I290" s="21">
        <v>549.94999999999993</v>
      </c>
    </row>
    <row r="291" spans="1:9" x14ac:dyDescent="0.45">
      <c r="B291" s="20" t="s">
        <v>232</v>
      </c>
      <c r="C291" s="20" t="s">
        <v>233</v>
      </c>
      <c r="D291" s="20" t="s">
        <v>234</v>
      </c>
      <c r="E291" s="20" t="s">
        <v>245</v>
      </c>
      <c r="F291" s="20" t="s">
        <v>405</v>
      </c>
      <c r="G291" s="20" t="s">
        <v>199</v>
      </c>
      <c r="H291" s="21">
        <v>92.41</v>
      </c>
      <c r="I291" s="21">
        <v>642.3599999999999</v>
      </c>
    </row>
    <row r="292" spans="1:9" x14ac:dyDescent="0.45">
      <c r="B292" s="20" t="s">
        <v>213</v>
      </c>
      <c r="C292" s="20" t="s">
        <v>233</v>
      </c>
      <c r="D292" s="20" t="s">
        <v>234</v>
      </c>
      <c r="E292" s="20" t="s">
        <v>245</v>
      </c>
      <c r="F292" s="20" t="s">
        <v>405</v>
      </c>
      <c r="G292" s="20" t="s">
        <v>199</v>
      </c>
      <c r="H292" s="21">
        <v>92.41</v>
      </c>
      <c r="I292" s="21">
        <v>734.76999999999987</v>
      </c>
    </row>
    <row r="293" spans="1:9" x14ac:dyDescent="0.45">
      <c r="A293" s="14" t="s">
        <v>406</v>
      </c>
      <c r="H293" s="22">
        <f>H288+H289+H290+H291+H292</f>
        <v>734.76999999999987</v>
      </c>
    </row>
    <row r="294" spans="1:9" x14ac:dyDescent="0.45">
      <c r="A294" s="7" t="s">
        <v>102</v>
      </c>
    </row>
    <row r="295" spans="1:9" x14ac:dyDescent="0.45">
      <c r="B295" s="20" t="s">
        <v>247</v>
      </c>
      <c r="C295" s="20" t="s">
        <v>233</v>
      </c>
      <c r="D295" s="20" t="s">
        <v>386</v>
      </c>
      <c r="E295" s="20" t="s">
        <v>387</v>
      </c>
      <c r="F295" s="20" t="s">
        <v>175</v>
      </c>
      <c r="G295" s="20" t="s">
        <v>218</v>
      </c>
      <c r="H295" s="21">
        <v>184.97</v>
      </c>
      <c r="I295" s="21">
        <v>184.97</v>
      </c>
    </row>
    <row r="296" spans="1:9" x14ac:dyDescent="0.45">
      <c r="B296" s="20" t="s">
        <v>247</v>
      </c>
      <c r="C296" s="20" t="s">
        <v>233</v>
      </c>
      <c r="D296" s="20" t="s">
        <v>334</v>
      </c>
      <c r="E296" s="20" t="s">
        <v>335</v>
      </c>
      <c r="F296" s="20" t="s">
        <v>407</v>
      </c>
      <c r="G296" s="20" t="s">
        <v>218</v>
      </c>
      <c r="H296" s="21">
        <v>970</v>
      </c>
      <c r="I296" s="21">
        <v>1154.97</v>
      </c>
    </row>
    <row r="297" spans="1:9" x14ac:dyDescent="0.45">
      <c r="A297" s="14" t="s">
        <v>337</v>
      </c>
      <c r="H297" s="22">
        <f>H295+H296</f>
        <v>1154.97</v>
      </c>
    </row>
    <row r="298" spans="1:9" x14ac:dyDescent="0.45">
      <c r="A298" s="7" t="s">
        <v>159</v>
      </c>
    </row>
    <row r="299" spans="1:9" x14ac:dyDescent="0.45">
      <c r="B299" s="20" t="s">
        <v>232</v>
      </c>
      <c r="C299" s="20" t="s">
        <v>233</v>
      </c>
      <c r="D299" s="20" t="s">
        <v>234</v>
      </c>
      <c r="E299" s="20" t="s">
        <v>235</v>
      </c>
      <c r="F299" s="20" t="s">
        <v>408</v>
      </c>
      <c r="G299" s="20" t="s">
        <v>218</v>
      </c>
      <c r="H299" s="21">
        <v>31.63</v>
      </c>
      <c r="I299" s="21">
        <v>31.63</v>
      </c>
    </row>
    <row r="300" spans="1:9" x14ac:dyDescent="0.45">
      <c r="B300" s="20" t="s">
        <v>247</v>
      </c>
      <c r="C300" s="20" t="s">
        <v>233</v>
      </c>
      <c r="D300" s="20" t="s">
        <v>338</v>
      </c>
      <c r="E300" s="20" t="s">
        <v>339</v>
      </c>
      <c r="F300" s="20" t="s">
        <v>409</v>
      </c>
      <c r="G300" s="20" t="s">
        <v>218</v>
      </c>
      <c r="H300" s="20"/>
      <c r="I300" s="21">
        <v>31.63</v>
      </c>
    </row>
    <row r="301" spans="1:9" x14ac:dyDescent="0.45">
      <c r="B301" s="20" t="s">
        <v>247</v>
      </c>
      <c r="C301" s="20" t="s">
        <v>233</v>
      </c>
      <c r="D301" s="20" t="s">
        <v>341</v>
      </c>
      <c r="E301" s="20" t="s">
        <v>342</v>
      </c>
      <c r="F301" s="20" t="s">
        <v>410</v>
      </c>
      <c r="G301" s="20" t="s">
        <v>218</v>
      </c>
      <c r="H301" s="21">
        <v>45.61</v>
      </c>
      <c r="I301" s="21">
        <v>77.239999999999995</v>
      </c>
    </row>
    <row r="302" spans="1:9" x14ac:dyDescent="0.45">
      <c r="A302" s="14" t="s">
        <v>411</v>
      </c>
      <c r="H302" s="22">
        <f>H299+H300+H301</f>
        <v>77.239999999999995</v>
      </c>
    </row>
    <row r="303" spans="1:9" x14ac:dyDescent="0.45">
      <c r="A303" s="7" t="s">
        <v>160</v>
      </c>
    </row>
    <row r="304" spans="1:9" x14ac:dyDescent="0.45">
      <c r="B304" s="20" t="s">
        <v>232</v>
      </c>
      <c r="C304" s="20" t="s">
        <v>233</v>
      </c>
      <c r="D304" s="20" t="s">
        <v>234</v>
      </c>
      <c r="E304" s="20" t="s">
        <v>369</v>
      </c>
      <c r="F304" s="20" t="s">
        <v>262</v>
      </c>
      <c r="G304" s="20" t="s">
        <v>218</v>
      </c>
      <c r="H304" s="21">
        <v>268.63</v>
      </c>
      <c r="I304" s="21">
        <v>268.63</v>
      </c>
    </row>
    <row r="305" spans="1:9" x14ac:dyDescent="0.45">
      <c r="B305" s="20" t="s">
        <v>232</v>
      </c>
      <c r="C305" s="20" t="s">
        <v>233</v>
      </c>
      <c r="D305" s="20" t="s">
        <v>234</v>
      </c>
      <c r="E305" s="20" t="s">
        <v>369</v>
      </c>
      <c r="F305" s="20" t="s">
        <v>237</v>
      </c>
      <c r="G305" s="20" t="s">
        <v>218</v>
      </c>
      <c r="H305" s="21">
        <v>-3.78</v>
      </c>
      <c r="I305" s="21">
        <v>264.85000000000002</v>
      </c>
    </row>
    <row r="306" spans="1:9" x14ac:dyDescent="0.45">
      <c r="B306" s="20" t="s">
        <v>232</v>
      </c>
      <c r="C306" s="20" t="s">
        <v>233</v>
      </c>
      <c r="D306" s="20" t="s">
        <v>234</v>
      </c>
      <c r="E306" s="20" t="s">
        <v>369</v>
      </c>
      <c r="F306" s="20" t="s">
        <v>244</v>
      </c>
      <c r="G306" s="20" t="s">
        <v>218</v>
      </c>
      <c r="H306" s="21">
        <v>-16.170000000000002</v>
      </c>
      <c r="I306" s="21">
        <v>248.68</v>
      </c>
    </row>
    <row r="307" spans="1:9" x14ac:dyDescent="0.45">
      <c r="B307" s="20" t="s">
        <v>232</v>
      </c>
      <c r="C307" s="20" t="s">
        <v>233</v>
      </c>
      <c r="D307" s="20" t="s">
        <v>234</v>
      </c>
      <c r="E307" s="20" t="s">
        <v>245</v>
      </c>
      <c r="F307" s="20" t="s">
        <v>412</v>
      </c>
      <c r="G307" s="20" t="s">
        <v>199</v>
      </c>
      <c r="H307" s="21">
        <v>39.9</v>
      </c>
      <c r="I307" s="21">
        <v>288.58</v>
      </c>
    </row>
    <row r="308" spans="1:9" x14ac:dyDescent="0.45">
      <c r="B308" s="20" t="s">
        <v>213</v>
      </c>
      <c r="C308" s="20" t="s">
        <v>233</v>
      </c>
      <c r="D308" s="20" t="s">
        <v>234</v>
      </c>
      <c r="E308" s="20" t="s">
        <v>245</v>
      </c>
      <c r="F308" s="20" t="s">
        <v>412</v>
      </c>
      <c r="G308" s="20" t="s">
        <v>199</v>
      </c>
      <c r="H308" s="21">
        <v>39.9</v>
      </c>
      <c r="I308" s="21">
        <v>328.47999999999996</v>
      </c>
    </row>
    <row r="309" spans="1:9" x14ac:dyDescent="0.45">
      <c r="A309" s="14" t="s">
        <v>413</v>
      </c>
      <c r="H309" s="22">
        <f>H304+H305+H306+H307+H308</f>
        <v>328.47999999999996</v>
      </c>
    </row>
    <row r="310" spans="1:9" x14ac:dyDescent="0.45">
      <c r="A310" s="7" t="s">
        <v>162</v>
      </c>
    </row>
    <row r="311" spans="1:9" x14ac:dyDescent="0.45">
      <c r="B311" s="20" t="s">
        <v>283</v>
      </c>
      <c r="C311" s="20" t="s">
        <v>233</v>
      </c>
      <c r="D311" s="20" t="s">
        <v>284</v>
      </c>
      <c r="E311" s="20" t="s">
        <v>327</v>
      </c>
      <c r="F311" s="20" t="s">
        <v>414</v>
      </c>
      <c r="G311" s="20" t="s">
        <v>218</v>
      </c>
      <c r="H311" s="21">
        <v>281.08</v>
      </c>
      <c r="I311" s="21">
        <v>281.08</v>
      </c>
    </row>
    <row r="312" spans="1:9" x14ac:dyDescent="0.45">
      <c r="B312" s="20" t="s">
        <v>283</v>
      </c>
      <c r="C312" s="20" t="s">
        <v>233</v>
      </c>
      <c r="D312" s="20" t="s">
        <v>234</v>
      </c>
      <c r="E312" s="20" t="s">
        <v>327</v>
      </c>
      <c r="F312" s="20" t="s">
        <v>415</v>
      </c>
      <c r="G312" s="20" t="s">
        <v>218</v>
      </c>
      <c r="H312" s="21">
        <v>392.79</v>
      </c>
      <c r="I312" s="21">
        <v>673.87</v>
      </c>
    </row>
    <row r="313" spans="1:9" x14ac:dyDescent="0.45">
      <c r="A313" s="14" t="s">
        <v>416</v>
      </c>
      <c r="H313" s="22">
        <f>H311+H312</f>
        <v>673.87</v>
      </c>
    </row>
    <row r="314" spans="1:9" ht="22.3" x14ac:dyDescent="0.45">
      <c r="A314" s="15" t="s">
        <v>417</v>
      </c>
      <c r="H314" s="22">
        <f>H293+H297+H302+H309+H313</f>
        <v>2969.3299999999995</v>
      </c>
    </row>
    <row r="315" spans="1:9" x14ac:dyDescent="0.45">
      <c r="A315" s="7" t="s">
        <v>164</v>
      </c>
    </row>
    <row r="316" spans="1:9" x14ac:dyDescent="0.45">
      <c r="A316" s="7" t="s">
        <v>165</v>
      </c>
    </row>
    <row r="317" spans="1:9" x14ac:dyDescent="0.45">
      <c r="B317" s="20" t="s">
        <v>247</v>
      </c>
      <c r="C317" s="20" t="s">
        <v>233</v>
      </c>
      <c r="D317" s="20" t="s">
        <v>418</v>
      </c>
      <c r="E317" s="20" t="s">
        <v>419</v>
      </c>
      <c r="F317" s="20" t="s">
        <v>262</v>
      </c>
      <c r="G317" s="20" t="s">
        <v>218</v>
      </c>
      <c r="H317" s="21">
        <v>2729.52</v>
      </c>
      <c r="I317" s="21">
        <v>2729.52</v>
      </c>
    </row>
    <row r="318" spans="1:9" x14ac:dyDescent="0.45">
      <c r="B318" s="20" t="s">
        <v>247</v>
      </c>
      <c r="C318" s="20" t="s">
        <v>233</v>
      </c>
      <c r="D318" s="20" t="s">
        <v>418</v>
      </c>
      <c r="E318" s="20" t="s">
        <v>419</v>
      </c>
      <c r="F318" s="20" t="s">
        <v>420</v>
      </c>
      <c r="G318" s="20" t="s">
        <v>218</v>
      </c>
      <c r="H318" s="20"/>
      <c r="I318" s="21">
        <v>2729.52</v>
      </c>
    </row>
    <row r="319" spans="1:9" x14ac:dyDescent="0.45">
      <c r="A319" s="14" t="s">
        <v>421</v>
      </c>
      <c r="H319" s="22">
        <f>H317+H318</f>
        <v>2729.52</v>
      </c>
    </row>
    <row r="320" spans="1:9" x14ac:dyDescent="0.45">
      <c r="A320" s="7" t="s">
        <v>166</v>
      </c>
    </row>
    <row r="321" spans="1:9" x14ac:dyDescent="0.45">
      <c r="B321" s="20" t="s">
        <v>247</v>
      </c>
      <c r="C321" s="20" t="s">
        <v>233</v>
      </c>
      <c r="D321" s="20" t="s">
        <v>418</v>
      </c>
      <c r="E321" s="20" t="s">
        <v>419</v>
      </c>
      <c r="F321" s="20" t="s">
        <v>262</v>
      </c>
      <c r="G321" s="20" t="s">
        <v>218</v>
      </c>
      <c r="H321" s="21">
        <v>5875.2</v>
      </c>
      <c r="I321" s="21">
        <v>5875.2</v>
      </c>
    </row>
    <row r="322" spans="1:9" x14ac:dyDescent="0.45">
      <c r="A322" s="14" t="s">
        <v>422</v>
      </c>
      <c r="H322" s="22">
        <f>H321</f>
        <v>5875.2</v>
      </c>
    </row>
    <row r="323" spans="1:9" x14ac:dyDescent="0.45">
      <c r="A323" s="15" t="s">
        <v>423</v>
      </c>
      <c r="H323" s="22">
        <f>H319+H322</f>
        <v>8604.7199999999993</v>
      </c>
    </row>
    <row r="324" spans="1:9" x14ac:dyDescent="0.45">
      <c r="A324" s="10" t="s">
        <v>424</v>
      </c>
      <c r="H324" s="22">
        <f>H180+H192+H270+H282+H285+H314+H323</f>
        <v>51883.500000000007</v>
      </c>
    </row>
    <row r="325" spans="1:9" x14ac:dyDescent="0.45">
      <c r="A325" s="11" t="s">
        <v>425</v>
      </c>
      <c r="H325" s="22">
        <f>+H68-H324</f>
        <v>-317.56000000000495</v>
      </c>
    </row>
    <row r="326" spans="1:9" x14ac:dyDescent="0.45">
      <c r="A326" s="7" t="s">
        <v>426</v>
      </c>
    </row>
    <row r="327" spans="1:9" x14ac:dyDescent="0.45">
      <c r="B327" s="20" t="s">
        <v>427</v>
      </c>
      <c r="H327" s="20"/>
    </row>
    <row r="328" spans="1:9" x14ac:dyDescent="0.45">
      <c r="A328" s="7" t="s">
        <v>428</v>
      </c>
    </row>
    <row r="329" spans="1:9" x14ac:dyDescent="0.45">
      <c r="A329" s="7" t="s">
        <v>171</v>
      </c>
    </row>
    <row r="330" spans="1:9" x14ac:dyDescent="0.45">
      <c r="B330" s="20" t="s">
        <v>247</v>
      </c>
      <c r="C330" s="20" t="s">
        <v>233</v>
      </c>
      <c r="D330" s="20" t="s">
        <v>429</v>
      </c>
      <c r="E330" s="20" t="s">
        <v>430</v>
      </c>
      <c r="F330" s="20" t="s">
        <v>431</v>
      </c>
      <c r="G330" s="20" t="s">
        <v>218</v>
      </c>
      <c r="H330" s="21">
        <v>1500</v>
      </c>
      <c r="I330" s="21">
        <v>1500</v>
      </c>
    </row>
    <row r="331" spans="1:9" x14ac:dyDescent="0.45">
      <c r="A331" s="15" t="s">
        <v>432</v>
      </c>
      <c r="H331" s="22">
        <f>H330</f>
        <v>1500</v>
      </c>
    </row>
    <row r="332" spans="1:9" x14ac:dyDescent="0.45">
      <c r="A332" s="10" t="s">
        <v>433</v>
      </c>
      <c r="H332" s="22">
        <f>H331</f>
        <v>1500</v>
      </c>
    </row>
    <row r="333" spans="1:9" x14ac:dyDescent="0.45">
      <c r="A333" s="11" t="s">
        <v>173</v>
      </c>
      <c r="H333" s="29">
        <v>-1500</v>
      </c>
    </row>
    <row r="334" spans="1:9" x14ac:dyDescent="0.45">
      <c r="A334" s="11" t="s">
        <v>174</v>
      </c>
      <c r="H334" s="22">
        <f>+H325+H333</f>
        <v>-1817.5600000000049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4A800-477B-49D1-92DE-478DAB132C53}">
  <dimension ref="A1:J1181"/>
  <sheetViews>
    <sheetView topLeftCell="E1159" workbookViewId="0">
      <selection activeCell="H1184" sqref="H1184"/>
    </sheetView>
  </sheetViews>
  <sheetFormatPr defaultColWidth="11.28515625" defaultRowHeight="15.9" x14ac:dyDescent="0.45"/>
  <cols>
    <col min="1" max="1" width="52.42578125" style="18" bestFit="1" customWidth="1"/>
    <col min="2" max="2" width="12.85546875" style="18" bestFit="1" customWidth="1"/>
    <col min="3" max="3" width="12.78515625" style="18" bestFit="1" customWidth="1"/>
    <col min="4" max="4" width="7.640625" style="18" bestFit="1" customWidth="1"/>
    <col min="5" max="5" width="27.42578125" style="18" bestFit="1" customWidth="1"/>
    <col min="6" max="6" width="81.5" style="18" bestFit="1" customWidth="1"/>
    <col min="7" max="7" width="19.78515625" style="18" bestFit="1" customWidth="1"/>
    <col min="8" max="8" width="9.5703125" style="18" bestFit="1" customWidth="1"/>
    <col min="9" max="9" width="8.78515625" style="18" bestFit="1" customWidth="1"/>
  </cols>
  <sheetData>
    <row r="1" spans="1:9" x14ac:dyDescent="0.45">
      <c r="A1" s="4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45">
      <c r="A2" s="2" t="s">
        <v>184</v>
      </c>
      <c r="B2" s="3"/>
      <c r="C2" s="3"/>
      <c r="D2" s="3"/>
      <c r="E2" s="3"/>
      <c r="F2" s="3"/>
      <c r="G2" s="3"/>
      <c r="H2" s="3"/>
      <c r="I2" s="3"/>
    </row>
    <row r="3" spans="1:9" x14ac:dyDescent="0.45">
      <c r="A3" s="1" t="s">
        <v>2</v>
      </c>
      <c r="B3" s="3"/>
      <c r="C3" s="3"/>
      <c r="D3" s="3"/>
      <c r="E3" s="3"/>
      <c r="F3" s="3"/>
      <c r="G3" s="3"/>
      <c r="H3" s="3"/>
      <c r="I3" s="3"/>
    </row>
    <row r="5" spans="1:9" x14ac:dyDescent="0.45">
      <c r="A5" s="19" t="s">
        <v>175</v>
      </c>
      <c r="B5" s="19" t="s">
        <v>186</v>
      </c>
      <c r="C5" s="19" t="s">
        <v>187</v>
      </c>
      <c r="D5" s="19" t="s">
        <v>188</v>
      </c>
      <c r="E5" s="19" t="s">
        <v>189</v>
      </c>
      <c r="F5" s="19" t="s">
        <v>190</v>
      </c>
      <c r="G5" s="19" t="s">
        <v>191</v>
      </c>
      <c r="H5" s="19" t="s">
        <v>192</v>
      </c>
      <c r="I5" s="19" t="s">
        <v>193</v>
      </c>
    </row>
    <row r="6" spans="1:9" x14ac:dyDescent="0.45">
      <c r="A6" s="7" t="s">
        <v>194</v>
      </c>
    </row>
    <row r="7" spans="1:9" x14ac:dyDescent="0.45">
      <c r="A7" s="7" t="s">
        <v>3</v>
      </c>
    </row>
    <row r="8" spans="1:9" x14ac:dyDescent="0.45">
      <c r="A8" s="7" t="s">
        <v>4</v>
      </c>
    </row>
    <row r="9" spans="1:9" x14ac:dyDescent="0.45">
      <c r="A9" s="7" t="s">
        <v>5</v>
      </c>
    </row>
    <row r="10" spans="1:9" x14ac:dyDescent="0.45">
      <c r="B10" s="20" t="s">
        <v>435</v>
      </c>
      <c r="C10" s="20" t="s">
        <v>233</v>
      </c>
      <c r="D10" s="20" t="s">
        <v>436</v>
      </c>
      <c r="E10" s="20" t="s">
        <v>437</v>
      </c>
      <c r="F10" s="20" t="s">
        <v>438</v>
      </c>
      <c r="G10" s="20" t="s">
        <v>218</v>
      </c>
      <c r="H10" s="21">
        <v>-2508</v>
      </c>
      <c r="I10" s="21">
        <v>-2508</v>
      </c>
    </row>
    <row r="11" spans="1:9" x14ac:dyDescent="0.45">
      <c r="B11" s="20" t="s">
        <v>439</v>
      </c>
      <c r="C11" s="20" t="s">
        <v>233</v>
      </c>
      <c r="D11" s="20" t="s">
        <v>440</v>
      </c>
      <c r="E11" s="20" t="s">
        <v>437</v>
      </c>
      <c r="F11" s="20" t="s">
        <v>441</v>
      </c>
      <c r="G11" s="20" t="s">
        <v>218</v>
      </c>
      <c r="H11" s="21">
        <v>-4836</v>
      </c>
      <c r="I11" s="21">
        <v>-7344</v>
      </c>
    </row>
    <row r="12" spans="1:9" x14ac:dyDescent="0.45">
      <c r="A12" s="14" t="s">
        <v>442</v>
      </c>
      <c r="H12" s="22">
        <f>H10+H11</f>
        <v>-7344</v>
      </c>
    </row>
    <row r="13" spans="1:9" x14ac:dyDescent="0.45">
      <c r="A13" s="7" t="s">
        <v>6</v>
      </c>
    </row>
    <row r="14" spans="1:9" x14ac:dyDescent="0.45">
      <c r="B14" s="20" t="s">
        <v>443</v>
      </c>
      <c r="C14" s="20" t="s">
        <v>444</v>
      </c>
      <c r="D14" s="20" t="s">
        <v>445</v>
      </c>
      <c r="E14" s="20" t="s">
        <v>175</v>
      </c>
      <c r="F14" s="20" t="s">
        <v>446</v>
      </c>
      <c r="G14" s="20" t="s">
        <v>175</v>
      </c>
      <c r="H14" s="21">
        <v>2535961.42</v>
      </c>
      <c r="I14" s="21">
        <v>2535961.42</v>
      </c>
    </row>
    <row r="15" spans="1:9" x14ac:dyDescent="0.45">
      <c r="B15" s="20" t="s">
        <v>447</v>
      </c>
      <c r="C15" s="20" t="s">
        <v>196</v>
      </c>
      <c r="D15" s="20" t="s">
        <v>175</v>
      </c>
      <c r="E15" s="20" t="s">
        <v>448</v>
      </c>
      <c r="F15" s="20" t="s">
        <v>175</v>
      </c>
      <c r="G15" s="20" t="s">
        <v>199</v>
      </c>
      <c r="H15" s="21">
        <v>585995.12</v>
      </c>
      <c r="I15" s="21">
        <v>3121956.54</v>
      </c>
    </row>
    <row r="16" spans="1:9" x14ac:dyDescent="0.45">
      <c r="B16" s="20" t="s">
        <v>449</v>
      </c>
      <c r="C16" s="20" t="s">
        <v>233</v>
      </c>
      <c r="D16" s="20" t="s">
        <v>450</v>
      </c>
      <c r="E16" s="20" t="s">
        <v>451</v>
      </c>
      <c r="F16" s="20" t="s">
        <v>452</v>
      </c>
      <c r="G16" s="20" t="s">
        <v>218</v>
      </c>
      <c r="H16" s="21">
        <v>-356184.5</v>
      </c>
      <c r="I16" s="21">
        <v>2765772.04</v>
      </c>
    </row>
    <row r="17" spans="2:9" x14ac:dyDescent="0.45">
      <c r="B17" s="20" t="s">
        <v>449</v>
      </c>
      <c r="C17" s="20" t="s">
        <v>233</v>
      </c>
      <c r="D17" s="20" t="s">
        <v>453</v>
      </c>
      <c r="E17" s="20" t="s">
        <v>454</v>
      </c>
      <c r="F17" s="20" t="s">
        <v>455</v>
      </c>
      <c r="G17" s="20" t="s">
        <v>218</v>
      </c>
      <c r="H17" s="21">
        <v>-169354.88</v>
      </c>
      <c r="I17" s="21">
        <v>2596417.16</v>
      </c>
    </row>
    <row r="18" spans="2:9" x14ac:dyDescent="0.45">
      <c r="B18" s="20" t="s">
        <v>449</v>
      </c>
      <c r="C18" s="20" t="s">
        <v>233</v>
      </c>
      <c r="D18" s="20" t="s">
        <v>456</v>
      </c>
      <c r="E18" s="20" t="s">
        <v>457</v>
      </c>
      <c r="F18" s="20" t="s">
        <v>455</v>
      </c>
      <c r="G18" s="20" t="s">
        <v>218</v>
      </c>
      <c r="H18" s="21">
        <v>-493560.24</v>
      </c>
      <c r="I18" s="21">
        <v>2102856.92</v>
      </c>
    </row>
    <row r="19" spans="2:9" x14ac:dyDescent="0.45">
      <c r="B19" s="20" t="s">
        <v>449</v>
      </c>
      <c r="C19" s="20" t="s">
        <v>233</v>
      </c>
      <c r="D19" s="20" t="s">
        <v>458</v>
      </c>
      <c r="E19" s="20" t="s">
        <v>459</v>
      </c>
      <c r="F19" s="20" t="s">
        <v>455</v>
      </c>
      <c r="G19" s="20" t="s">
        <v>218</v>
      </c>
      <c r="H19" s="21">
        <v>-433036.84</v>
      </c>
      <c r="I19" s="21">
        <v>1669820.0799999998</v>
      </c>
    </row>
    <row r="20" spans="2:9" x14ac:dyDescent="0.45">
      <c r="B20" s="20" t="s">
        <v>449</v>
      </c>
      <c r="C20" s="20" t="s">
        <v>233</v>
      </c>
      <c r="D20" s="20" t="s">
        <v>460</v>
      </c>
      <c r="E20" s="20" t="s">
        <v>461</v>
      </c>
      <c r="F20" s="20" t="s">
        <v>455</v>
      </c>
      <c r="G20" s="20" t="s">
        <v>218</v>
      </c>
      <c r="H20" s="21">
        <v>-75802.34</v>
      </c>
      <c r="I20" s="21">
        <v>1594017.7399999998</v>
      </c>
    </row>
    <row r="21" spans="2:9" x14ac:dyDescent="0.45">
      <c r="B21" s="20" t="s">
        <v>462</v>
      </c>
      <c r="C21" s="20" t="s">
        <v>196</v>
      </c>
      <c r="D21" s="20" t="s">
        <v>175</v>
      </c>
      <c r="E21" s="20" t="s">
        <v>175</v>
      </c>
      <c r="F21" s="20" t="s">
        <v>175</v>
      </c>
      <c r="G21" s="20" t="s">
        <v>199</v>
      </c>
      <c r="H21" s="21">
        <v>324442.82</v>
      </c>
      <c r="I21" s="21">
        <v>1918460.5599999998</v>
      </c>
    </row>
    <row r="22" spans="2:9" x14ac:dyDescent="0.45">
      <c r="B22" s="20" t="s">
        <v>463</v>
      </c>
      <c r="C22" s="20" t="s">
        <v>196</v>
      </c>
      <c r="D22" s="20" t="s">
        <v>175</v>
      </c>
      <c r="E22" s="20" t="s">
        <v>175</v>
      </c>
      <c r="F22" s="20" t="s">
        <v>175</v>
      </c>
      <c r="G22" s="20" t="s">
        <v>199</v>
      </c>
      <c r="H22" s="21">
        <v>284509.94</v>
      </c>
      <c r="I22" s="21">
        <v>2202970.5</v>
      </c>
    </row>
    <row r="23" spans="2:9" x14ac:dyDescent="0.45">
      <c r="B23" s="20" t="s">
        <v>464</v>
      </c>
      <c r="C23" s="20" t="s">
        <v>196</v>
      </c>
      <c r="D23" s="20" t="s">
        <v>175</v>
      </c>
      <c r="E23" s="20" t="s">
        <v>175</v>
      </c>
      <c r="F23" s="20" t="s">
        <v>175</v>
      </c>
      <c r="G23" s="20" t="s">
        <v>199</v>
      </c>
      <c r="H23" s="21">
        <v>228391.61</v>
      </c>
      <c r="I23" s="21">
        <v>2431362.11</v>
      </c>
    </row>
    <row r="24" spans="2:9" x14ac:dyDescent="0.45">
      <c r="B24" s="20" t="s">
        <v>465</v>
      </c>
      <c r="C24" s="20" t="s">
        <v>196</v>
      </c>
      <c r="D24" s="20" t="s">
        <v>175</v>
      </c>
      <c r="E24" s="20" t="s">
        <v>197</v>
      </c>
      <c r="F24" s="20" t="s">
        <v>175</v>
      </c>
      <c r="G24" s="20" t="s">
        <v>199</v>
      </c>
      <c r="H24" s="21">
        <v>8.61</v>
      </c>
      <c r="I24" s="21">
        <v>2431370.7199999997</v>
      </c>
    </row>
    <row r="25" spans="2:9" x14ac:dyDescent="0.45">
      <c r="B25" s="20" t="s">
        <v>465</v>
      </c>
      <c r="C25" s="20" t="s">
        <v>196</v>
      </c>
      <c r="D25" s="20" t="s">
        <v>175</v>
      </c>
      <c r="E25" s="20" t="s">
        <v>175</v>
      </c>
      <c r="F25" s="20" t="s">
        <v>175</v>
      </c>
      <c r="G25" s="20" t="s">
        <v>199</v>
      </c>
      <c r="H25" s="21">
        <v>642250.64</v>
      </c>
      <c r="I25" s="21">
        <v>3073621.36</v>
      </c>
    </row>
    <row r="26" spans="2:9" x14ac:dyDescent="0.45">
      <c r="B26" s="20" t="s">
        <v>466</v>
      </c>
      <c r="C26" s="20" t="s">
        <v>196</v>
      </c>
      <c r="D26" s="20" t="s">
        <v>175</v>
      </c>
      <c r="E26" s="20" t="s">
        <v>175</v>
      </c>
      <c r="F26" s="20" t="s">
        <v>175</v>
      </c>
      <c r="G26" s="20" t="s">
        <v>199</v>
      </c>
      <c r="H26" s="21">
        <v>80850.009999999995</v>
      </c>
      <c r="I26" s="21">
        <v>3154471.3699999996</v>
      </c>
    </row>
    <row r="27" spans="2:9" x14ac:dyDescent="0.45">
      <c r="B27" s="20" t="s">
        <v>467</v>
      </c>
      <c r="C27" s="20" t="s">
        <v>196</v>
      </c>
      <c r="D27" s="20" t="s">
        <v>175</v>
      </c>
      <c r="E27" s="20" t="s">
        <v>448</v>
      </c>
      <c r="F27" s="20" t="s">
        <v>175</v>
      </c>
      <c r="G27" s="20" t="s">
        <v>199</v>
      </c>
      <c r="H27" s="21">
        <v>36.270000000000003</v>
      </c>
      <c r="I27" s="21">
        <v>3154507.6399999997</v>
      </c>
    </row>
    <row r="28" spans="2:9" x14ac:dyDescent="0.45">
      <c r="B28" s="20" t="s">
        <v>439</v>
      </c>
      <c r="C28" s="20" t="s">
        <v>233</v>
      </c>
      <c r="D28" s="20" t="s">
        <v>468</v>
      </c>
      <c r="E28" s="20" t="s">
        <v>469</v>
      </c>
      <c r="F28" s="20" t="s">
        <v>408</v>
      </c>
      <c r="G28" s="20" t="s">
        <v>218</v>
      </c>
      <c r="H28" s="21">
        <v>-6625.3</v>
      </c>
      <c r="I28" s="21">
        <v>3147882.34</v>
      </c>
    </row>
    <row r="29" spans="2:9" x14ac:dyDescent="0.45">
      <c r="B29" s="20" t="s">
        <v>439</v>
      </c>
      <c r="C29" s="20" t="s">
        <v>233</v>
      </c>
      <c r="D29" s="20" t="s">
        <v>470</v>
      </c>
      <c r="E29" s="20" t="s">
        <v>469</v>
      </c>
      <c r="F29" s="20" t="s">
        <v>471</v>
      </c>
      <c r="G29" s="20" t="s">
        <v>218</v>
      </c>
      <c r="H29" s="21">
        <v>-15758.79</v>
      </c>
      <c r="I29" s="21">
        <v>3132123.55</v>
      </c>
    </row>
    <row r="30" spans="2:9" x14ac:dyDescent="0.45">
      <c r="B30" s="20" t="s">
        <v>439</v>
      </c>
      <c r="C30" s="20" t="s">
        <v>233</v>
      </c>
      <c r="D30" s="20" t="s">
        <v>472</v>
      </c>
      <c r="E30" s="20" t="s">
        <v>451</v>
      </c>
      <c r="F30" s="20" t="s">
        <v>473</v>
      </c>
      <c r="G30" s="20" t="s">
        <v>218</v>
      </c>
      <c r="H30" s="21">
        <v>-588151.47</v>
      </c>
      <c r="I30" s="21">
        <v>2543972.08</v>
      </c>
    </row>
    <row r="31" spans="2:9" x14ac:dyDescent="0.45">
      <c r="B31" s="20" t="s">
        <v>439</v>
      </c>
      <c r="C31" s="20" t="s">
        <v>233</v>
      </c>
      <c r="D31" s="20" t="s">
        <v>474</v>
      </c>
      <c r="E31" s="20" t="s">
        <v>461</v>
      </c>
      <c r="F31" s="20" t="s">
        <v>475</v>
      </c>
      <c r="G31" s="20" t="s">
        <v>218</v>
      </c>
      <c r="H31" s="21">
        <v>-124850.01</v>
      </c>
      <c r="I31" s="21">
        <v>2419122.0700000003</v>
      </c>
    </row>
    <row r="32" spans="2:9" x14ac:dyDescent="0.45">
      <c r="B32" s="20" t="s">
        <v>439</v>
      </c>
      <c r="C32" s="20" t="s">
        <v>233</v>
      </c>
      <c r="D32" s="20" t="s">
        <v>476</v>
      </c>
      <c r="E32" s="20" t="s">
        <v>457</v>
      </c>
      <c r="F32" s="20" t="s">
        <v>475</v>
      </c>
      <c r="G32" s="20" t="s">
        <v>218</v>
      </c>
      <c r="H32" s="21">
        <v>-812916.8</v>
      </c>
      <c r="I32" s="21">
        <v>1606205.2700000003</v>
      </c>
    </row>
    <row r="33" spans="1:9" x14ac:dyDescent="0.45">
      <c r="B33" s="20" t="s">
        <v>439</v>
      </c>
      <c r="C33" s="20" t="s">
        <v>233</v>
      </c>
      <c r="D33" s="20" t="s">
        <v>477</v>
      </c>
      <c r="E33" s="20" t="s">
        <v>459</v>
      </c>
      <c r="F33" s="20" t="s">
        <v>475</v>
      </c>
      <c r="G33" s="20" t="s">
        <v>218</v>
      </c>
      <c r="H33" s="21">
        <v>-713231.92</v>
      </c>
      <c r="I33" s="21">
        <v>892973.35000000021</v>
      </c>
    </row>
    <row r="34" spans="1:9" x14ac:dyDescent="0.45">
      <c r="B34" s="20" t="s">
        <v>439</v>
      </c>
      <c r="C34" s="20" t="s">
        <v>233</v>
      </c>
      <c r="D34" s="20" t="s">
        <v>478</v>
      </c>
      <c r="E34" s="20" t="s">
        <v>454</v>
      </c>
      <c r="F34" s="20" t="s">
        <v>475</v>
      </c>
      <c r="G34" s="20" t="s">
        <v>218</v>
      </c>
      <c r="H34" s="21">
        <v>-278935.42</v>
      </c>
      <c r="I34" s="21">
        <v>614037.93000000017</v>
      </c>
    </row>
    <row r="35" spans="1:9" x14ac:dyDescent="0.45">
      <c r="B35" s="20" t="s">
        <v>479</v>
      </c>
      <c r="C35" s="20" t="s">
        <v>196</v>
      </c>
      <c r="D35" s="20" t="s">
        <v>175</v>
      </c>
      <c r="E35" s="20" t="s">
        <v>480</v>
      </c>
      <c r="F35" s="20" t="s">
        <v>481</v>
      </c>
      <c r="G35" s="20" t="s">
        <v>199</v>
      </c>
      <c r="H35" s="21">
        <v>722.44</v>
      </c>
      <c r="I35" s="21">
        <v>614760.37000000011</v>
      </c>
    </row>
    <row r="36" spans="1:9" x14ac:dyDescent="0.45">
      <c r="B36" s="20" t="s">
        <v>479</v>
      </c>
      <c r="C36" s="20" t="s">
        <v>196</v>
      </c>
      <c r="D36" s="20" t="s">
        <v>175</v>
      </c>
      <c r="E36" s="20" t="s">
        <v>480</v>
      </c>
      <c r="F36" s="20" t="s">
        <v>482</v>
      </c>
      <c r="G36" s="20" t="s">
        <v>199</v>
      </c>
      <c r="H36" s="21">
        <v>1114.58</v>
      </c>
      <c r="I36" s="21">
        <v>615874.95000000007</v>
      </c>
    </row>
    <row r="37" spans="1:9" x14ac:dyDescent="0.45">
      <c r="A37" s="14" t="s">
        <v>483</v>
      </c>
      <c r="H37" s="22">
        <f>H14+H15+H16+H17+H18+H19+H20+H21+H22+H23+H24+H25+H26+H27+H28+H29+H30+H31+H32+H33+H34+H35+H36</f>
        <v>615874.95000000007</v>
      </c>
    </row>
    <row r="38" spans="1:9" x14ac:dyDescent="0.45">
      <c r="A38" s="7" t="s">
        <v>7</v>
      </c>
    </row>
    <row r="39" spans="1:9" x14ac:dyDescent="0.45">
      <c r="B39" s="20" t="s">
        <v>484</v>
      </c>
      <c r="C39" s="20" t="s">
        <v>196</v>
      </c>
      <c r="D39" s="20" t="s">
        <v>175</v>
      </c>
      <c r="E39" s="20" t="s">
        <v>197</v>
      </c>
      <c r="F39" s="20" t="s">
        <v>175</v>
      </c>
      <c r="G39" s="20" t="s">
        <v>199</v>
      </c>
      <c r="H39" s="21">
        <v>202.62</v>
      </c>
      <c r="I39" s="21">
        <v>202.62</v>
      </c>
    </row>
    <row r="40" spans="1:9" x14ac:dyDescent="0.45">
      <c r="A40" s="14" t="s">
        <v>485</v>
      </c>
      <c r="H40" s="22">
        <f>H39</f>
        <v>202.62</v>
      </c>
    </row>
    <row r="41" spans="1:9" x14ac:dyDescent="0.45">
      <c r="A41" s="7" t="s">
        <v>8</v>
      </c>
    </row>
    <row r="42" spans="1:9" x14ac:dyDescent="0.45">
      <c r="B42" s="20" t="s">
        <v>435</v>
      </c>
      <c r="C42" s="20" t="s">
        <v>233</v>
      </c>
      <c r="D42" s="20" t="s">
        <v>486</v>
      </c>
      <c r="E42" s="20" t="s">
        <v>487</v>
      </c>
      <c r="F42" s="20" t="s">
        <v>488</v>
      </c>
      <c r="G42" s="20" t="s">
        <v>218</v>
      </c>
      <c r="H42" s="21">
        <v>-3092.01</v>
      </c>
      <c r="I42" s="21">
        <v>-3092.01</v>
      </c>
    </row>
    <row r="43" spans="1:9" x14ac:dyDescent="0.45">
      <c r="A43" s="14" t="s">
        <v>489</v>
      </c>
      <c r="H43" s="22">
        <f>H42</f>
        <v>-3092.01</v>
      </c>
    </row>
    <row r="44" spans="1:9" x14ac:dyDescent="0.45">
      <c r="A44" s="7" t="s">
        <v>9</v>
      </c>
    </row>
    <row r="45" spans="1:9" x14ac:dyDescent="0.45">
      <c r="B45" s="20" t="s">
        <v>490</v>
      </c>
      <c r="C45" s="20" t="s">
        <v>196</v>
      </c>
      <c r="D45" s="20" t="s">
        <v>175</v>
      </c>
      <c r="E45" s="20" t="s">
        <v>451</v>
      </c>
      <c r="F45" s="20" t="s">
        <v>491</v>
      </c>
      <c r="G45" s="20" t="s">
        <v>199</v>
      </c>
      <c r="H45" s="21">
        <v>15405.85</v>
      </c>
      <c r="I45" s="21">
        <v>15405.85</v>
      </c>
    </row>
    <row r="46" spans="1:9" x14ac:dyDescent="0.45">
      <c r="A46" s="14" t="s">
        <v>492</v>
      </c>
      <c r="H46" s="22">
        <f>H45</f>
        <v>15405.85</v>
      </c>
    </row>
    <row r="47" spans="1:9" x14ac:dyDescent="0.45">
      <c r="A47" s="15" t="s">
        <v>493</v>
      </c>
      <c r="H47" s="22">
        <f>H12+H37+H40+H43+H46</f>
        <v>621047.41</v>
      </c>
    </row>
    <row r="48" spans="1:9" x14ac:dyDescent="0.45">
      <c r="A48" s="7" t="s">
        <v>11</v>
      </c>
    </row>
    <row r="49" spans="1:9" x14ac:dyDescent="0.45">
      <c r="A49" s="7" t="s">
        <v>12</v>
      </c>
    </row>
    <row r="50" spans="1:9" x14ac:dyDescent="0.45">
      <c r="B50" s="20" t="s">
        <v>494</v>
      </c>
      <c r="C50" s="20" t="s">
        <v>196</v>
      </c>
      <c r="D50" s="20" t="s">
        <v>175</v>
      </c>
      <c r="E50" s="20" t="s">
        <v>495</v>
      </c>
      <c r="F50" s="20" t="s">
        <v>175</v>
      </c>
      <c r="G50" s="20" t="s">
        <v>199</v>
      </c>
      <c r="H50" s="21">
        <v>2962</v>
      </c>
      <c r="I50" s="21">
        <v>2962</v>
      </c>
    </row>
    <row r="51" spans="1:9" x14ac:dyDescent="0.45">
      <c r="A51" s="14" t="s">
        <v>496</v>
      </c>
      <c r="H51" s="22">
        <f>H50</f>
        <v>2962</v>
      </c>
    </row>
    <row r="52" spans="1:9" x14ac:dyDescent="0.45">
      <c r="A52" s="7" t="s">
        <v>13</v>
      </c>
    </row>
    <row r="53" spans="1:9" x14ac:dyDescent="0.45">
      <c r="B53" s="20" t="s">
        <v>497</v>
      </c>
      <c r="C53" s="20" t="s">
        <v>196</v>
      </c>
      <c r="D53" s="20" t="s">
        <v>175</v>
      </c>
      <c r="E53" s="20" t="s">
        <v>197</v>
      </c>
      <c r="F53" s="20" t="s">
        <v>175</v>
      </c>
      <c r="G53" s="20" t="s">
        <v>199</v>
      </c>
      <c r="H53" s="21">
        <v>15858.48</v>
      </c>
      <c r="I53" s="21">
        <v>15858.48</v>
      </c>
    </row>
    <row r="54" spans="1:9" x14ac:dyDescent="0.45">
      <c r="A54" s="14" t="s">
        <v>498</v>
      </c>
      <c r="H54" s="22">
        <f>H53</f>
        <v>15858.48</v>
      </c>
    </row>
    <row r="55" spans="1:9" x14ac:dyDescent="0.45">
      <c r="A55" s="7" t="s">
        <v>14</v>
      </c>
    </row>
    <row r="56" spans="1:9" x14ac:dyDescent="0.45">
      <c r="B56" s="20" t="s">
        <v>195</v>
      </c>
      <c r="C56" s="20" t="s">
        <v>196</v>
      </c>
      <c r="D56" s="20" t="s">
        <v>175</v>
      </c>
      <c r="E56" s="20" t="s">
        <v>197</v>
      </c>
      <c r="F56" s="20" t="s">
        <v>198</v>
      </c>
      <c r="G56" s="20" t="s">
        <v>199</v>
      </c>
      <c r="H56" s="21">
        <v>13.51</v>
      </c>
      <c r="I56" s="21">
        <v>13.51</v>
      </c>
    </row>
    <row r="57" spans="1:9" x14ac:dyDescent="0.45">
      <c r="A57" s="14" t="s">
        <v>200</v>
      </c>
      <c r="H57" s="22">
        <f>H56</f>
        <v>13.51</v>
      </c>
    </row>
    <row r="58" spans="1:9" x14ac:dyDescent="0.45">
      <c r="A58" s="7" t="s">
        <v>15</v>
      </c>
    </row>
    <row r="59" spans="1:9" x14ac:dyDescent="0.45">
      <c r="B59" s="20" t="s">
        <v>499</v>
      </c>
      <c r="C59" s="20" t="s">
        <v>196</v>
      </c>
      <c r="D59" s="20" t="s">
        <v>175</v>
      </c>
      <c r="E59" s="20" t="s">
        <v>175</v>
      </c>
      <c r="F59" s="20" t="s">
        <v>500</v>
      </c>
      <c r="G59" s="20" t="s">
        <v>199</v>
      </c>
      <c r="H59" s="21">
        <v>3324.94</v>
      </c>
      <c r="I59" s="21">
        <v>3324.94</v>
      </c>
    </row>
    <row r="60" spans="1:9" x14ac:dyDescent="0.45">
      <c r="A60" s="14" t="s">
        <v>501</v>
      </c>
      <c r="H60" s="22">
        <f>H59</f>
        <v>3324.94</v>
      </c>
    </row>
    <row r="61" spans="1:9" x14ac:dyDescent="0.45">
      <c r="A61" s="7" t="s">
        <v>16</v>
      </c>
    </row>
    <row r="62" spans="1:9" x14ac:dyDescent="0.45">
      <c r="B62" s="20" t="s">
        <v>502</v>
      </c>
      <c r="C62" s="20" t="s">
        <v>196</v>
      </c>
      <c r="D62" s="20" t="s">
        <v>175</v>
      </c>
      <c r="E62" s="20" t="s">
        <v>480</v>
      </c>
      <c r="F62" s="20" t="s">
        <v>503</v>
      </c>
      <c r="G62" s="20" t="s">
        <v>199</v>
      </c>
      <c r="H62" s="21">
        <v>586.15</v>
      </c>
      <c r="I62" s="21">
        <v>586.15</v>
      </c>
    </row>
    <row r="63" spans="1:9" x14ac:dyDescent="0.45">
      <c r="A63" s="14" t="s">
        <v>504</v>
      </c>
      <c r="H63" s="22">
        <f>H62</f>
        <v>586.15</v>
      </c>
    </row>
    <row r="64" spans="1:9" x14ac:dyDescent="0.45">
      <c r="A64" s="7" t="s">
        <v>17</v>
      </c>
    </row>
    <row r="65" spans="1:9" x14ac:dyDescent="0.45">
      <c r="B65" s="20" t="s">
        <v>505</v>
      </c>
      <c r="C65" s="20" t="s">
        <v>196</v>
      </c>
      <c r="D65" s="20" t="s">
        <v>175</v>
      </c>
      <c r="E65" s="20" t="s">
        <v>197</v>
      </c>
      <c r="F65" s="20" t="s">
        <v>506</v>
      </c>
      <c r="G65" s="20" t="s">
        <v>199</v>
      </c>
      <c r="H65" s="21">
        <v>78501.77</v>
      </c>
      <c r="I65" s="21">
        <v>78501.77</v>
      </c>
    </row>
    <row r="66" spans="1:9" x14ac:dyDescent="0.45">
      <c r="B66" s="20" t="s">
        <v>507</v>
      </c>
      <c r="C66" s="20" t="s">
        <v>233</v>
      </c>
      <c r="D66" s="20" t="s">
        <v>508</v>
      </c>
      <c r="E66" s="20" t="s">
        <v>451</v>
      </c>
      <c r="F66" s="20" t="s">
        <v>509</v>
      </c>
      <c r="G66" s="20" t="s">
        <v>218</v>
      </c>
      <c r="H66" s="21">
        <v>-16081.87</v>
      </c>
      <c r="I66" s="21">
        <v>62419.9</v>
      </c>
    </row>
    <row r="67" spans="1:9" x14ac:dyDescent="0.45">
      <c r="B67" s="20" t="s">
        <v>507</v>
      </c>
      <c r="C67" s="20" t="s">
        <v>233</v>
      </c>
      <c r="D67" s="20" t="s">
        <v>510</v>
      </c>
      <c r="E67" s="20" t="s">
        <v>461</v>
      </c>
      <c r="F67" s="20" t="s">
        <v>509</v>
      </c>
      <c r="G67" s="20" t="s">
        <v>218</v>
      </c>
      <c r="H67" s="21">
        <v>-3422.55</v>
      </c>
      <c r="I67" s="21">
        <v>58997.35</v>
      </c>
    </row>
    <row r="68" spans="1:9" x14ac:dyDescent="0.45">
      <c r="B68" s="20" t="s">
        <v>507</v>
      </c>
      <c r="C68" s="20" t="s">
        <v>233</v>
      </c>
      <c r="D68" s="20" t="s">
        <v>511</v>
      </c>
      <c r="E68" s="20" t="s">
        <v>457</v>
      </c>
      <c r="F68" s="20" t="s">
        <v>509</v>
      </c>
      <c r="G68" s="20" t="s">
        <v>218</v>
      </c>
      <c r="H68" s="21">
        <v>-26671.4</v>
      </c>
      <c r="I68" s="21">
        <v>32325.949999999997</v>
      </c>
    </row>
    <row r="69" spans="1:9" x14ac:dyDescent="0.45">
      <c r="B69" s="20" t="s">
        <v>507</v>
      </c>
      <c r="C69" s="20" t="s">
        <v>233</v>
      </c>
      <c r="D69" s="20" t="s">
        <v>512</v>
      </c>
      <c r="E69" s="20" t="s">
        <v>459</v>
      </c>
      <c r="F69" s="20" t="s">
        <v>509</v>
      </c>
      <c r="G69" s="20" t="s">
        <v>218</v>
      </c>
      <c r="H69" s="21">
        <v>-22064</v>
      </c>
      <c r="I69" s="21">
        <v>10261.949999999997</v>
      </c>
    </row>
    <row r="70" spans="1:9" x14ac:dyDescent="0.45">
      <c r="B70" s="20" t="s">
        <v>507</v>
      </c>
      <c r="C70" s="20" t="s">
        <v>233</v>
      </c>
      <c r="D70" s="20" t="s">
        <v>513</v>
      </c>
      <c r="E70" s="20" t="s">
        <v>454</v>
      </c>
      <c r="F70" s="20" t="s">
        <v>509</v>
      </c>
      <c r="G70" s="20" t="s">
        <v>218</v>
      </c>
      <c r="H70" s="21">
        <v>-15.71</v>
      </c>
      <c r="I70" s="21">
        <v>10246.239999999998</v>
      </c>
    </row>
    <row r="71" spans="1:9" x14ac:dyDescent="0.45">
      <c r="B71" s="20" t="s">
        <v>514</v>
      </c>
      <c r="C71" s="20" t="s">
        <v>196</v>
      </c>
      <c r="D71" s="20" t="s">
        <v>175</v>
      </c>
      <c r="E71" s="20" t="s">
        <v>197</v>
      </c>
      <c r="F71" s="20" t="s">
        <v>175</v>
      </c>
      <c r="G71" s="20" t="s">
        <v>199</v>
      </c>
      <c r="H71" s="21">
        <v>707.91</v>
      </c>
      <c r="I71" s="21">
        <v>10954.149999999998</v>
      </c>
    </row>
    <row r="72" spans="1:9" x14ac:dyDescent="0.45">
      <c r="A72" s="14" t="s">
        <v>515</v>
      </c>
      <c r="H72" s="22">
        <f>H65+H66+H67+H68+H69+H70+H71</f>
        <v>10954.149999999998</v>
      </c>
    </row>
    <row r="73" spans="1:9" x14ac:dyDescent="0.45">
      <c r="A73" s="7" t="s">
        <v>18</v>
      </c>
    </row>
    <row r="74" spans="1:9" x14ac:dyDescent="0.45">
      <c r="B74" s="20" t="s">
        <v>516</v>
      </c>
      <c r="C74" s="20" t="s">
        <v>196</v>
      </c>
      <c r="D74" s="20" t="s">
        <v>175</v>
      </c>
      <c r="E74" s="20" t="s">
        <v>175</v>
      </c>
      <c r="F74" s="20" t="s">
        <v>175</v>
      </c>
      <c r="G74" s="20" t="s">
        <v>199</v>
      </c>
      <c r="H74" s="21">
        <v>86508.84</v>
      </c>
      <c r="I74" s="21">
        <v>86508.84</v>
      </c>
    </row>
    <row r="75" spans="1:9" x14ac:dyDescent="0.45">
      <c r="A75" s="14" t="s">
        <v>517</v>
      </c>
      <c r="H75" s="22">
        <f>H74</f>
        <v>86508.84</v>
      </c>
    </row>
    <row r="76" spans="1:9" x14ac:dyDescent="0.45">
      <c r="A76" s="15" t="s">
        <v>201</v>
      </c>
      <c r="H76" s="22">
        <f>H51+H54+H57+H60+H63+H72+H75</f>
        <v>120208.06999999999</v>
      </c>
    </row>
    <row r="77" spans="1:9" x14ac:dyDescent="0.45">
      <c r="A77" s="7" t="s">
        <v>20</v>
      </c>
    </row>
    <row r="78" spans="1:9" x14ac:dyDescent="0.45">
      <c r="A78" s="7" t="s">
        <v>21</v>
      </c>
    </row>
    <row r="79" spans="1:9" x14ac:dyDescent="0.45">
      <c r="B79" s="20" t="s">
        <v>202</v>
      </c>
      <c r="C79" s="20" t="s">
        <v>196</v>
      </c>
      <c r="D79" s="20" t="s">
        <v>175</v>
      </c>
      <c r="E79" s="20" t="s">
        <v>175</v>
      </c>
      <c r="F79" s="20" t="s">
        <v>203</v>
      </c>
      <c r="G79" s="20" t="s">
        <v>199</v>
      </c>
      <c r="H79" s="21">
        <v>302.5</v>
      </c>
      <c r="I79" s="21">
        <v>302.5</v>
      </c>
    </row>
    <row r="80" spans="1:9" x14ac:dyDescent="0.45">
      <c r="B80" s="20" t="s">
        <v>202</v>
      </c>
      <c r="C80" s="20" t="s">
        <v>196</v>
      </c>
      <c r="D80" s="20" t="s">
        <v>175</v>
      </c>
      <c r="E80" s="20" t="s">
        <v>175</v>
      </c>
      <c r="F80" s="20" t="s">
        <v>204</v>
      </c>
      <c r="G80" s="20" t="s">
        <v>199</v>
      </c>
      <c r="H80" s="21">
        <v>20</v>
      </c>
      <c r="I80" s="21">
        <v>322.5</v>
      </c>
    </row>
    <row r="81" spans="1:9" x14ac:dyDescent="0.45">
      <c r="B81" s="20" t="s">
        <v>202</v>
      </c>
      <c r="C81" s="20" t="s">
        <v>196</v>
      </c>
      <c r="D81" s="20" t="s">
        <v>175</v>
      </c>
      <c r="E81" s="20" t="s">
        <v>175</v>
      </c>
      <c r="F81" s="20" t="s">
        <v>204</v>
      </c>
      <c r="G81" s="20" t="s">
        <v>199</v>
      </c>
      <c r="H81" s="21">
        <v>2</v>
      </c>
      <c r="I81" s="21">
        <v>324.5</v>
      </c>
    </row>
    <row r="82" spans="1:9" x14ac:dyDescent="0.45">
      <c r="B82" s="20" t="s">
        <v>202</v>
      </c>
      <c r="C82" s="20" t="s">
        <v>196</v>
      </c>
      <c r="D82" s="20" t="s">
        <v>175</v>
      </c>
      <c r="E82" s="20" t="s">
        <v>175</v>
      </c>
      <c r="F82" s="20" t="s">
        <v>205</v>
      </c>
      <c r="G82" s="20" t="s">
        <v>199</v>
      </c>
      <c r="H82" s="21">
        <v>302.5</v>
      </c>
      <c r="I82" s="21">
        <v>627</v>
      </c>
    </row>
    <row r="83" spans="1:9" x14ac:dyDescent="0.45">
      <c r="B83" s="20" t="s">
        <v>202</v>
      </c>
      <c r="C83" s="20" t="s">
        <v>196</v>
      </c>
      <c r="D83" s="20" t="s">
        <v>175</v>
      </c>
      <c r="E83" s="20" t="s">
        <v>175</v>
      </c>
      <c r="F83" s="20" t="s">
        <v>206</v>
      </c>
      <c r="G83" s="20" t="s">
        <v>199</v>
      </c>
      <c r="H83" s="21">
        <v>16</v>
      </c>
      <c r="I83" s="21">
        <v>643</v>
      </c>
    </row>
    <row r="84" spans="1:9" x14ac:dyDescent="0.45">
      <c r="B84" s="20" t="s">
        <v>202</v>
      </c>
      <c r="C84" s="20" t="s">
        <v>196</v>
      </c>
      <c r="D84" s="20" t="s">
        <v>175</v>
      </c>
      <c r="E84" s="20" t="s">
        <v>175</v>
      </c>
      <c r="F84" s="20" t="s">
        <v>205</v>
      </c>
      <c r="G84" s="20" t="s">
        <v>199</v>
      </c>
      <c r="H84" s="21">
        <v>302.5</v>
      </c>
      <c r="I84" s="21">
        <v>945.5</v>
      </c>
    </row>
    <row r="85" spans="1:9" x14ac:dyDescent="0.45">
      <c r="B85" s="20" t="s">
        <v>202</v>
      </c>
      <c r="C85" s="20" t="s">
        <v>196</v>
      </c>
      <c r="D85" s="20" t="s">
        <v>175</v>
      </c>
      <c r="E85" s="20" t="s">
        <v>175</v>
      </c>
      <c r="F85" s="20" t="s">
        <v>206</v>
      </c>
      <c r="G85" s="20" t="s">
        <v>199</v>
      </c>
      <c r="H85" s="21">
        <v>2</v>
      </c>
      <c r="I85" s="21">
        <v>947.5</v>
      </c>
    </row>
    <row r="86" spans="1:9" x14ac:dyDescent="0.45">
      <c r="A86" s="14" t="s">
        <v>207</v>
      </c>
      <c r="H86" s="22">
        <f>H79+H80+H81+H82+H83+H84+H85</f>
        <v>947.5</v>
      </c>
    </row>
    <row r="87" spans="1:9" x14ac:dyDescent="0.45">
      <c r="A87" s="7" t="s">
        <v>22</v>
      </c>
    </row>
    <row r="88" spans="1:9" x14ac:dyDescent="0.45">
      <c r="B88" s="20" t="s">
        <v>443</v>
      </c>
      <c r="C88" s="20" t="s">
        <v>444</v>
      </c>
      <c r="D88" s="20" t="s">
        <v>445</v>
      </c>
      <c r="E88" s="20" t="s">
        <v>175</v>
      </c>
      <c r="F88" s="20" t="s">
        <v>446</v>
      </c>
      <c r="G88" s="20" t="s">
        <v>175</v>
      </c>
      <c r="H88" s="21">
        <v>933.75</v>
      </c>
      <c r="I88" s="21">
        <v>933.75</v>
      </c>
    </row>
    <row r="89" spans="1:9" x14ac:dyDescent="0.45">
      <c r="B89" s="20" t="s">
        <v>447</v>
      </c>
      <c r="C89" s="20" t="s">
        <v>196</v>
      </c>
      <c r="D89" s="20" t="s">
        <v>175</v>
      </c>
      <c r="E89" s="20" t="s">
        <v>448</v>
      </c>
      <c r="F89" s="20" t="s">
        <v>518</v>
      </c>
      <c r="G89" s="20" t="s">
        <v>199</v>
      </c>
      <c r="H89" s="21">
        <v>71</v>
      </c>
      <c r="I89" s="21">
        <v>1004.75</v>
      </c>
    </row>
    <row r="90" spans="1:9" x14ac:dyDescent="0.45">
      <c r="B90" s="20" t="s">
        <v>462</v>
      </c>
      <c r="C90" s="20" t="s">
        <v>196</v>
      </c>
      <c r="D90" s="20" t="s">
        <v>175</v>
      </c>
      <c r="E90" s="20" t="s">
        <v>175</v>
      </c>
      <c r="F90" s="20" t="s">
        <v>518</v>
      </c>
      <c r="G90" s="20" t="s">
        <v>199</v>
      </c>
      <c r="H90" s="21">
        <v>200</v>
      </c>
      <c r="I90" s="21">
        <v>1204.75</v>
      </c>
    </row>
    <row r="91" spans="1:9" x14ac:dyDescent="0.45">
      <c r="B91" s="20" t="s">
        <v>463</v>
      </c>
      <c r="C91" s="20" t="s">
        <v>196</v>
      </c>
      <c r="D91" s="20" t="s">
        <v>175</v>
      </c>
      <c r="E91" s="20" t="s">
        <v>175</v>
      </c>
      <c r="F91" s="20" t="s">
        <v>518</v>
      </c>
      <c r="G91" s="20" t="s">
        <v>199</v>
      </c>
      <c r="H91" s="21">
        <v>20</v>
      </c>
      <c r="I91" s="21">
        <v>1224.75</v>
      </c>
    </row>
    <row r="92" spans="1:9" x14ac:dyDescent="0.45">
      <c r="B92" s="20" t="s">
        <v>464</v>
      </c>
      <c r="C92" s="20" t="s">
        <v>196</v>
      </c>
      <c r="D92" s="20" t="s">
        <v>175</v>
      </c>
      <c r="E92" s="20" t="s">
        <v>175</v>
      </c>
      <c r="F92" s="20" t="s">
        <v>518</v>
      </c>
      <c r="G92" s="20" t="s">
        <v>199</v>
      </c>
      <c r="H92" s="21">
        <v>242</v>
      </c>
      <c r="I92" s="21">
        <v>1466.75</v>
      </c>
    </row>
    <row r="93" spans="1:9" x14ac:dyDescent="0.45">
      <c r="B93" s="20" t="s">
        <v>465</v>
      </c>
      <c r="C93" s="20" t="s">
        <v>196</v>
      </c>
      <c r="D93" s="20" t="s">
        <v>175</v>
      </c>
      <c r="E93" s="20" t="s">
        <v>175</v>
      </c>
      <c r="F93" s="20" t="s">
        <v>175</v>
      </c>
      <c r="G93" s="20" t="s">
        <v>199</v>
      </c>
      <c r="H93" s="21">
        <v>80</v>
      </c>
      <c r="I93" s="21">
        <v>1546.75</v>
      </c>
    </row>
    <row r="94" spans="1:9" x14ac:dyDescent="0.45">
      <c r="B94" s="20" t="s">
        <v>466</v>
      </c>
      <c r="C94" s="20" t="s">
        <v>196</v>
      </c>
      <c r="D94" s="20" t="s">
        <v>175</v>
      </c>
      <c r="E94" s="20" t="s">
        <v>175</v>
      </c>
      <c r="F94" s="20" t="s">
        <v>519</v>
      </c>
      <c r="G94" s="20" t="s">
        <v>199</v>
      </c>
      <c r="H94" s="21">
        <v>20</v>
      </c>
      <c r="I94" s="21">
        <v>1566.75</v>
      </c>
    </row>
    <row r="95" spans="1:9" x14ac:dyDescent="0.45">
      <c r="B95" s="20" t="s">
        <v>467</v>
      </c>
      <c r="C95" s="20" t="s">
        <v>196</v>
      </c>
      <c r="D95" s="20" t="s">
        <v>175</v>
      </c>
      <c r="E95" s="20" t="s">
        <v>448</v>
      </c>
      <c r="F95" s="20" t="s">
        <v>175</v>
      </c>
      <c r="G95" s="20" t="s">
        <v>199</v>
      </c>
      <c r="H95" s="21">
        <v>20</v>
      </c>
      <c r="I95" s="21">
        <v>1586.75</v>
      </c>
    </row>
    <row r="96" spans="1:9" x14ac:dyDescent="0.45">
      <c r="B96" s="20" t="s">
        <v>520</v>
      </c>
      <c r="C96" s="20" t="s">
        <v>196</v>
      </c>
      <c r="D96" s="20" t="s">
        <v>175</v>
      </c>
      <c r="E96" s="20" t="s">
        <v>175</v>
      </c>
      <c r="F96" s="20" t="s">
        <v>175</v>
      </c>
      <c r="G96" s="20" t="s">
        <v>199</v>
      </c>
      <c r="H96" s="21">
        <v>20</v>
      </c>
      <c r="I96" s="21">
        <v>1606.75</v>
      </c>
    </row>
    <row r="97" spans="1:9" x14ac:dyDescent="0.45">
      <c r="B97" s="20" t="s">
        <v>520</v>
      </c>
      <c r="C97" s="20" t="s">
        <v>196</v>
      </c>
      <c r="D97" s="20" t="s">
        <v>175</v>
      </c>
      <c r="E97" s="20" t="s">
        <v>175</v>
      </c>
      <c r="F97" s="20" t="s">
        <v>175</v>
      </c>
      <c r="G97" s="20" t="s">
        <v>199</v>
      </c>
      <c r="H97" s="21">
        <v>40</v>
      </c>
      <c r="I97" s="21">
        <v>1646.75</v>
      </c>
    </row>
    <row r="98" spans="1:9" x14ac:dyDescent="0.45">
      <c r="B98" s="20" t="s">
        <v>521</v>
      </c>
      <c r="C98" s="20" t="s">
        <v>196</v>
      </c>
      <c r="D98" s="20" t="s">
        <v>175</v>
      </c>
      <c r="E98" s="20" t="s">
        <v>175</v>
      </c>
      <c r="F98" s="20" t="s">
        <v>175</v>
      </c>
      <c r="G98" s="20" t="s">
        <v>199</v>
      </c>
      <c r="H98" s="21">
        <v>30</v>
      </c>
      <c r="I98" s="21">
        <v>1676.75</v>
      </c>
    </row>
    <row r="99" spans="1:9" x14ac:dyDescent="0.45">
      <c r="B99" s="20" t="s">
        <v>521</v>
      </c>
      <c r="C99" s="20" t="s">
        <v>196</v>
      </c>
      <c r="D99" s="20" t="s">
        <v>175</v>
      </c>
      <c r="E99" s="20" t="s">
        <v>175</v>
      </c>
      <c r="F99" s="20" t="s">
        <v>175</v>
      </c>
      <c r="G99" s="20" t="s">
        <v>199</v>
      </c>
      <c r="H99" s="21">
        <v>10</v>
      </c>
      <c r="I99" s="21">
        <v>1686.75</v>
      </c>
    </row>
    <row r="100" spans="1:9" x14ac:dyDescent="0.45">
      <c r="B100" s="20" t="s">
        <v>521</v>
      </c>
      <c r="C100" s="20" t="s">
        <v>196</v>
      </c>
      <c r="D100" s="20" t="s">
        <v>175</v>
      </c>
      <c r="E100" s="20" t="s">
        <v>175</v>
      </c>
      <c r="F100" s="20" t="s">
        <v>175</v>
      </c>
      <c r="G100" s="20" t="s">
        <v>199</v>
      </c>
      <c r="H100" s="21">
        <v>20</v>
      </c>
      <c r="I100" s="21">
        <v>1706.75</v>
      </c>
    </row>
    <row r="101" spans="1:9" x14ac:dyDescent="0.45">
      <c r="B101" s="20" t="s">
        <v>522</v>
      </c>
      <c r="C101" s="20" t="s">
        <v>196</v>
      </c>
      <c r="D101" s="20" t="s">
        <v>175</v>
      </c>
      <c r="E101" s="20" t="s">
        <v>175</v>
      </c>
      <c r="F101" s="20" t="s">
        <v>175</v>
      </c>
      <c r="G101" s="20" t="s">
        <v>199</v>
      </c>
      <c r="H101" s="21">
        <v>80</v>
      </c>
      <c r="I101" s="21">
        <v>1786.75</v>
      </c>
    </row>
    <row r="102" spans="1:9" x14ac:dyDescent="0.45">
      <c r="A102" s="14" t="s">
        <v>523</v>
      </c>
      <c r="H102" s="22">
        <f>H88+H89+H90+H91+H92+H93+H94+H95+H96+H97+H98+H99+H100+H101</f>
        <v>1786.75</v>
      </c>
    </row>
    <row r="103" spans="1:9" x14ac:dyDescent="0.45">
      <c r="A103" s="7" t="s">
        <v>23</v>
      </c>
    </row>
    <row r="104" spans="1:9" x14ac:dyDescent="0.45">
      <c r="B104" s="20" t="s">
        <v>520</v>
      </c>
      <c r="C104" s="20" t="s">
        <v>196</v>
      </c>
      <c r="D104" s="20" t="s">
        <v>175</v>
      </c>
      <c r="E104" s="20" t="s">
        <v>175</v>
      </c>
      <c r="F104" s="20" t="s">
        <v>175</v>
      </c>
      <c r="G104" s="20" t="s">
        <v>199</v>
      </c>
      <c r="H104" s="21">
        <v>118.29</v>
      </c>
      <c r="I104" s="21">
        <v>118.29</v>
      </c>
    </row>
    <row r="105" spans="1:9" x14ac:dyDescent="0.45">
      <c r="B105" s="20" t="s">
        <v>521</v>
      </c>
      <c r="C105" s="20" t="s">
        <v>196</v>
      </c>
      <c r="D105" s="20" t="s">
        <v>175</v>
      </c>
      <c r="E105" s="20" t="s">
        <v>175</v>
      </c>
      <c r="F105" s="20" t="s">
        <v>175</v>
      </c>
      <c r="G105" s="20" t="s">
        <v>199</v>
      </c>
      <c r="H105" s="21">
        <v>717.83</v>
      </c>
      <c r="I105" s="21">
        <v>836.12</v>
      </c>
    </row>
    <row r="106" spans="1:9" x14ac:dyDescent="0.45">
      <c r="B106" s="20" t="s">
        <v>522</v>
      </c>
      <c r="C106" s="20" t="s">
        <v>196</v>
      </c>
      <c r="D106" s="20" t="s">
        <v>175</v>
      </c>
      <c r="E106" s="20" t="s">
        <v>175</v>
      </c>
      <c r="F106" s="20" t="s">
        <v>175</v>
      </c>
      <c r="G106" s="20" t="s">
        <v>199</v>
      </c>
      <c r="H106" s="21">
        <v>280.83</v>
      </c>
      <c r="I106" s="21">
        <v>1116.95</v>
      </c>
    </row>
    <row r="107" spans="1:9" x14ac:dyDescent="0.45">
      <c r="B107" s="20" t="s">
        <v>516</v>
      </c>
      <c r="C107" s="20" t="s">
        <v>196</v>
      </c>
      <c r="D107" s="20" t="s">
        <v>175</v>
      </c>
      <c r="E107" s="20" t="s">
        <v>175</v>
      </c>
      <c r="F107" s="20" t="s">
        <v>175</v>
      </c>
      <c r="G107" s="20" t="s">
        <v>199</v>
      </c>
      <c r="H107" s="21">
        <v>223.43</v>
      </c>
      <c r="I107" s="21">
        <v>1340.38</v>
      </c>
    </row>
    <row r="108" spans="1:9" x14ac:dyDescent="0.45">
      <c r="B108" s="20" t="s">
        <v>499</v>
      </c>
      <c r="C108" s="20" t="s">
        <v>196</v>
      </c>
      <c r="D108" s="20" t="s">
        <v>175</v>
      </c>
      <c r="E108" s="20" t="s">
        <v>175</v>
      </c>
      <c r="F108" s="20" t="s">
        <v>524</v>
      </c>
      <c r="G108" s="20" t="s">
        <v>199</v>
      </c>
      <c r="H108" s="21">
        <v>487.68</v>
      </c>
      <c r="I108" s="21">
        <v>1828.0600000000002</v>
      </c>
    </row>
    <row r="109" spans="1:9" x14ac:dyDescent="0.45">
      <c r="B109" s="20" t="s">
        <v>202</v>
      </c>
      <c r="C109" s="20" t="s">
        <v>196</v>
      </c>
      <c r="D109" s="20" t="s">
        <v>175</v>
      </c>
      <c r="E109" s="20" t="s">
        <v>175</v>
      </c>
      <c r="F109" s="20" t="s">
        <v>175</v>
      </c>
      <c r="G109" s="20" t="s">
        <v>199</v>
      </c>
      <c r="H109" s="21">
        <v>275.95999999999998</v>
      </c>
      <c r="I109" s="21">
        <v>2104.02</v>
      </c>
    </row>
    <row r="110" spans="1:9" x14ac:dyDescent="0.45">
      <c r="A110" s="14" t="s">
        <v>208</v>
      </c>
      <c r="H110" s="22">
        <f>H104+H105+H106+H107+H108+H109</f>
        <v>2104.02</v>
      </c>
    </row>
    <row r="111" spans="1:9" x14ac:dyDescent="0.45">
      <c r="A111" s="7" t="s">
        <v>24</v>
      </c>
    </row>
    <row r="112" spans="1:9" x14ac:dyDescent="0.45">
      <c r="B112" s="20" t="s">
        <v>522</v>
      </c>
      <c r="C112" s="20" t="s">
        <v>196</v>
      </c>
      <c r="D112" s="20" t="s">
        <v>175</v>
      </c>
      <c r="E112" s="20" t="s">
        <v>175</v>
      </c>
      <c r="F112" s="20" t="s">
        <v>525</v>
      </c>
      <c r="G112" s="20" t="s">
        <v>199</v>
      </c>
      <c r="H112" s="21">
        <v>150</v>
      </c>
      <c r="I112" s="21">
        <v>150</v>
      </c>
    </row>
    <row r="113" spans="1:9" x14ac:dyDescent="0.45">
      <c r="B113" s="20" t="s">
        <v>499</v>
      </c>
      <c r="C113" s="20" t="s">
        <v>196</v>
      </c>
      <c r="D113" s="20" t="s">
        <v>175</v>
      </c>
      <c r="E113" s="20" t="s">
        <v>175</v>
      </c>
      <c r="F113" s="20" t="s">
        <v>526</v>
      </c>
      <c r="G113" s="20" t="s">
        <v>199</v>
      </c>
      <c r="H113" s="21">
        <v>150</v>
      </c>
      <c r="I113" s="21">
        <v>300</v>
      </c>
    </row>
    <row r="114" spans="1:9" x14ac:dyDescent="0.45">
      <c r="A114" s="14" t="s">
        <v>527</v>
      </c>
      <c r="H114" s="22">
        <f>H112+H113</f>
        <v>300</v>
      </c>
    </row>
    <row r="115" spans="1:9" x14ac:dyDescent="0.45">
      <c r="A115" s="7" t="s">
        <v>25</v>
      </c>
    </row>
    <row r="116" spans="1:9" x14ac:dyDescent="0.45">
      <c r="B116" s="20" t="s">
        <v>521</v>
      </c>
      <c r="C116" s="20" t="s">
        <v>196</v>
      </c>
      <c r="D116" s="20" t="s">
        <v>175</v>
      </c>
      <c r="E116" s="20" t="s">
        <v>175</v>
      </c>
      <c r="F116" s="20" t="s">
        <v>175</v>
      </c>
      <c r="G116" s="20" t="s">
        <v>199</v>
      </c>
      <c r="H116" s="21">
        <v>200</v>
      </c>
      <c r="I116" s="21">
        <v>200</v>
      </c>
    </row>
    <row r="117" spans="1:9" x14ac:dyDescent="0.45">
      <c r="A117" s="14" t="s">
        <v>528</v>
      </c>
      <c r="H117" s="22">
        <f>H116</f>
        <v>200</v>
      </c>
    </row>
    <row r="118" spans="1:9" x14ac:dyDescent="0.45">
      <c r="A118" s="7" t="s">
        <v>26</v>
      </c>
    </row>
    <row r="119" spans="1:9" x14ac:dyDescent="0.45">
      <c r="B119" s="20" t="s">
        <v>202</v>
      </c>
      <c r="C119" s="20" t="s">
        <v>196</v>
      </c>
      <c r="D119" s="20" t="s">
        <v>175</v>
      </c>
      <c r="E119" s="20" t="s">
        <v>175</v>
      </c>
      <c r="F119" s="20" t="s">
        <v>209</v>
      </c>
      <c r="G119" s="20" t="s">
        <v>199</v>
      </c>
      <c r="H119" s="21">
        <v>13.5</v>
      </c>
      <c r="I119" s="21">
        <v>13.5</v>
      </c>
    </row>
    <row r="120" spans="1:9" x14ac:dyDescent="0.45">
      <c r="B120" s="20" t="s">
        <v>202</v>
      </c>
      <c r="C120" s="20" t="s">
        <v>196</v>
      </c>
      <c r="D120" s="20" t="s">
        <v>175</v>
      </c>
      <c r="E120" s="20" t="s">
        <v>175</v>
      </c>
      <c r="F120" s="20" t="s">
        <v>210</v>
      </c>
      <c r="G120" s="20" t="s">
        <v>199</v>
      </c>
      <c r="H120" s="21">
        <v>13.5</v>
      </c>
      <c r="I120" s="21">
        <v>27</v>
      </c>
    </row>
    <row r="121" spans="1:9" x14ac:dyDescent="0.45">
      <c r="B121" s="20" t="s">
        <v>202</v>
      </c>
      <c r="C121" s="20" t="s">
        <v>196</v>
      </c>
      <c r="D121" s="20" t="s">
        <v>175</v>
      </c>
      <c r="E121" s="20" t="s">
        <v>175</v>
      </c>
      <c r="F121" s="20" t="s">
        <v>210</v>
      </c>
      <c r="G121" s="20" t="s">
        <v>199</v>
      </c>
      <c r="H121" s="21">
        <v>13.5</v>
      </c>
      <c r="I121" s="21">
        <v>40.5</v>
      </c>
    </row>
    <row r="122" spans="1:9" x14ac:dyDescent="0.45">
      <c r="A122" s="14" t="s">
        <v>211</v>
      </c>
      <c r="H122" s="22">
        <f>H119+H120+H121</f>
        <v>40.5</v>
      </c>
    </row>
    <row r="123" spans="1:9" x14ac:dyDescent="0.45">
      <c r="A123" s="15" t="s">
        <v>212</v>
      </c>
      <c r="H123" s="22">
        <f>H86+H102+H110+H114+H117+H122</f>
        <v>5378.77</v>
      </c>
    </row>
    <row r="124" spans="1:9" x14ac:dyDescent="0.45">
      <c r="A124" s="7" t="s">
        <v>28</v>
      </c>
    </row>
    <row r="125" spans="1:9" x14ac:dyDescent="0.45">
      <c r="A125" s="7" t="s">
        <v>29</v>
      </c>
    </row>
    <row r="126" spans="1:9" x14ac:dyDescent="0.45">
      <c r="B126" s="20" t="s">
        <v>529</v>
      </c>
      <c r="C126" s="20" t="s">
        <v>196</v>
      </c>
      <c r="D126" s="20" t="s">
        <v>217</v>
      </c>
      <c r="E126" s="20" t="s">
        <v>175</v>
      </c>
      <c r="F126" s="20" t="s">
        <v>175</v>
      </c>
      <c r="G126" s="20" t="s">
        <v>216</v>
      </c>
      <c r="H126" s="21">
        <v>92.14</v>
      </c>
      <c r="I126" s="21">
        <v>92.14</v>
      </c>
    </row>
    <row r="127" spans="1:9" x14ac:dyDescent="0.45">
      <c r="B127" s="20" t="s">
        <v>529</v>
      </c>
      <c r="C127" s="20" t="s">
        <v>196</v>
      </c>
      <c r="D127" s="20" t="s">
        <v>175</v>
      </c>
      <c r="E127" s="20" t="s">
        <v>175</v>
      </c>
      <c r="F127" s="20" t="s">
        <v>175</v>
      </c>
      <c r="G127" s="20" t="s">
        <v>199</v>
      </c>
      <c r="H127" s="21">
        <v>10524.64</v>
      </c>
      <c r="I127" s="21">
        <v>10616.779999999999</v>
      </c>
    </row>
    <row r="128" spans="1:9" x14ac:dyDescent="0.45">
      <c r="B128" s="20" t="s">
        <v>529</v>
      </c>
      <c r="C128" s="20" t="s">
        <v>196</v>
      </c>
      <c r="D128" s="20" t="s">
        <v>217</v>
      </c>
      <c r="E128" s="20" t="s">
        <v>175</v>
      </c>
      <c r="F128" s="20" t="s">
        <v>175</v>
      </c>
      <c r="G128" s="20" t="s">
        <v>218</v>
      </c>
      <c r="H128" s="21">
        <v>1508.97</v>
      </c>
      <c r="I128" s="21">
        <v>12125.749999999998</v>
      </c>
    </row>
    <row r="129" spans="2:9" x14ac:dyDescent="0.45">
      <c r="B129" s="20" t="s">
        <v>530</v>
      </c>
      <c r="C129" s="20" t="s">
        <v>196</v>
      </c>
      <c r="D129" s="20" t="s">
        <v>217</v>
      </c>
      <c r="E129" s="20" t="s">
        <v>175</v>
      </c>
      <c r="F129" s="20" t="s">
        <v>175</v>
      </c>
      <c r="G129" s="20" t="s">
        <v>216</v>
      </c>
      <c r="H129" s="21">
        <v>83.69</v>
      </c>
      <c r="I129" s="21">
        <v>12209.439999999999</v>
      </c>
    </row>
    <row r="130" spans="2:9" x14ac:dyDescent="0.45">
      <c r="B130" s="20" t="s">
        <v>530</v>
      </c>
      <c r="C130" s="20" t="s">
        <v>196</v>
      </c>
      <c r="D130" s="20" t="s">
        <v>217</v>
      </c>
      <c r="E130" s="20" t="s">
        <v>175</v>
      </c>
      <c r="F130" s="20" t="s">
        <v>175</v>
      </c>
      <c r="G130" s="20" t="s">
        <v>199</v>
      </c>
      <c r="H130" s="21">
        <v>7683.95</v>
      </c>
      <c r="I130" s="21">
        <v>19893.39</v>
      </c>
    </row>
    <row r="131" spans="2:9" x14ac:dyDescent="0.45">
      <c r="B131" s="20" t="s">
        <v>530</v>
      </c>
      <c r="C131" s="20" t="s">
        <v>196</v>
      </c>
      <c r="D131" s="20" t="s">
        <v>217</v>
      </c>
      <c r="E131" s="20" t="s">
        <v>175</v>
      </c>
      <c r="F131" s="20" t="s">
        <v>175</v>
      </c>
      <c r="G131" s="20" t="s">
        <v>218</v>
      </c>
      <c r="H131" s="21">
        <v>2298.9</v>
      </c>
      <c r="I131" s="21">
        <v>22192.29</v>
      </c>
    </row>
    <row r="132" spans="2:9" x14ac:dyDescent="0.45">
      <c r="B132" s="20" t="s">
        <v>531</v>
      </c>
      <c r="C132" s="20" t="s">
        <v>196</v>
      </c>
      <c r="D132" s="20" t="s">
        <v>217</v>
      </c>
      <c r="E132" s="20" t="s">
        <v>175</v>
      </c>
      <c r="F132" s="20" t="s">
        <v>175</v>
      </c>
      <c r="G132" s="20" t="s">
        <v>216</v>
      </c>
      <c r="H132" s="21">
        <v>95.56</v>
      </c>
      <c r="I132" s="21">
        <v>22287.850000000002</v>
      </c>
    </row>
    <row r="133" spans="2:9" x14ac:dyDescent="0.45">
      <c r="B133" s="20" t="s">
        <v>531</v>
      </c>
      <c r="C133" s="20" t="s">
        <v>196</v>
      </c>
      <c r="D133" s="20" t="s">
        <v>217</v>
      </c>
      <c r="E133" s="20" t="s">
        <v>175</v>
      </c>
      <c r="F133" s="20" t="s">
        <v>175</v>
      </c>
      <c r="G133" s="20" t="s">
        <v>218</v>
      </c>
      <c r="H133" s="21">
        <v>143.4</v>
      </c>
      <c r="I133" s="21">
        <v>22431.250000000004</v>
      </c>
    </row>
    <row r="134" spans="2:9" x14ac:dyDescent="0.45">
      <c r="B134" s="20" t="s">
        <v>531</v>
      </c>
      <c r="C134" s="20" t="s">
        <v>196</v>
      </c>
      <c r="D134" s="20" t="s">
        <v>175</v>
      </c>
      <c r="E134" s="20" t="s">
        <v>175</v>
      </c>
      <c r="F134" s="20" t="s">
        <v>175</v>
      </c>
      <c r="G134" s="20" t="s">
        <v>199</v>
      </c>
      <c r="H134" s="21">
        <v>4712.32</v>
      </c>
      <c r="I134" s="21">
        <v>27143.570000000003</v>
      </c>
    </row>
    <row r="135" spans="2:9" x14ac:dyDescent="0.45">
      <c r="B135" s="20" t="s">
        <v>532</v>
      </c>
      <c r="C135" s="20" t="s">
        <v>196</v>
      </c>
      <c r="D135" s="20" t="s">
        <v>217</v>
      </c>
      <c r="E135" s="20" t="s">
        <v>175</v>
      </c>
      <c r="F135" s="20" t="s">
        <v>175</v>
      </c>
      <c r="G135" s="20" t="s">
        <v>218</v>
      </c>
      <c r="H135" s="21">
        <v>137.1</v>
      </c>
      <c r="I135" s="21">
        <v>27280.670000000002</v>
      </c>
    </row>
    <row r="136" spans="2:9" x14ac:dyDescent="0.45">
      <c r="B136" s="20" t="s">
        <v>532</v>
      </c>
      <c r="C136" s="20" t="s">
        <v>196</v>
      </c>
      <c r="D136" s="20" t="s">
        <v>217</v>
      </c>
      <c r="E136" s="20" t="s">
        <v>175</v>
      </c>
      <c r="F136" s="20" t="s">
        <v>175</v>
      </c>
      <c r="G136" s="20" t="s">
        <v>216</v>
      </c>
      <c r="H136" s="21">
        <v>88.83</v>
      </c>
      <c r="I136" s="21">
        <v>27369.500000000004</v>
      </c>
    </row>
    <row r="137" spans="2:9" x14ac:dyDescent="0.45">
      <c r="B137" s="20" t="s">
        <v>532</v>
      </c>
      <c r="C137" s="20" t="s">
        <v>196</v>
      </c>
      <c r="D137" s="20" t="s">
        <v>175</v>
      </c>
      <c r="E137" s="20" t="s">
        <v>175</v>
      </c>
      <c r="F137" s="20" t="s">
        <v>175</v>
      </c>
      <c r="G137" s="20" t="s">
        <v>199</v>
      </c>
      <c r="H137" s="21">
        <v>4323.79</v>
      </c>
      <c r="I137" s="21">
        <v>31693.290000000005</v>
      </c>
    </row>
    <row r="138" spans="2:9" x14ac:dyDescent="0.45">
      <c r="B138" s="20" t="s">
        <v>533</v>
      </c>
      <c r="C138" s="20" t="s">
        <v>196</v>
      </c>
      <c r="D138" s="20" t="s">
        <v>217</v>
      </c>
      <c r="E138" s="20" t="s">
        <v>175</v>
      </c>
      <c r="F138" s="20" t="s">
        <v>175</v>
      </c>
      <c r="G138" s="20" t="s">
        <v>199</v>
      </c>
      <c r="H138" s="21">
        <v>4251.41</v>
      </c>
      <c r="I138" s="21">
        <v>35944.700000000004</v>
      </c>
    </row>
    <row r="139" spans="2:9" x14ac:dyDescent="0.45">
      <c r="B139" s="20" t="s">
        <v>533</v>
      </c>
      <c r="C139" s="20" t="s">
        <v>196</v>
      </c>
      <c r="D139" s="20" t="s">
        <v>217</v>
      </c>
      <c r="E139" s="20" t="s">
        <v>175</v>
      </c>
      <c r="F139" s="20" t="s">
        <v>175</v>
      </c>
      <c r="G139" s="20" t="s">
        <v>216</v>
      </c>
      <c r="H139" s="21">
        <v>85.05</v>
      </c>
      <c r="I139" s="21">
        <v>36029.750000000007</v>
      </c>
    </row>
    <row r="140" spans="2:9" x14ac:dyDescent="0.45">
      <c r="B140" s="20" t="s">
        <v>533</v>
      </c>
      <c r="C140" s="20" t="s">
        <v>196</v>
      </c>
      <c r="D140" s="20" t="s">
        <v>217</v>
      </c>
      <c r="E140" s="20" t="s">
        <v>175</v>
      </c>
      <c r="F140" s="20" t="s">
        <v>175</v>
      </c>
      <c r="G140" s="20" t="s">
        <v>218</v>
      </c>
      <c r="H140" s="21">
        <v>179.48</v>
      </c>
      <c r="I140" s="21">
        <v>36209.23000000001</v>
      </c>
    </row>
    <row r="141" spans="2:9" x14ac:dyDescent="0.45">
      <c r="B141" s="20" t="s">
        <v>494</v>
      </c>
      <c r="C141" s="20" t="s">
        <v>196</v>
      </c>
      <c r="D141" s="20" t="s">
        <v>217</v>
      </c>
      <c r="E141" s="20" t="s">
        <v>175</v>
      </c>
      <c r="F141" s="20" t="s">
        <v>175</v>
      </c>
      <c r="G141" s="20" t="s">
        <v>216</v>
      </c>
      <c r="H141" s="21">
        <v>92.26</v>
      </c>
      <c r="I141" s="21">
        <v>36301.490000000013</v>
      </c>
    </row>
    <row r="142" spans="2:9" x14ac:dyDescent="0.45">
      <c r="B142" s="20" t="s">
        <v>494</v>
      </c>
      <c r="C142" s="20" t="s">
        <v>196</v>
      </c>
      <c r="D142" s="20" t="s">
        <v>217</v>
      </c>
      <c r="E142" s="20" t="s">
        <v>175</v>
      </c>
      <c r="F142" s="20" t="s">
        <v>175</v>
      </c>
      <c r="G142" s="20" t="s">
        <v>199</v>
      </c>
      <c r="H142" s="21">
        <v>4561.59</v>
      </c>
      <c r="I142" s="21">
        <v>40863.080000000016</v>
      </c>
    </row>
    <row r="143" spans="2:9" x14ac:dyDescent="0.45">
      <c r="B143" s="20" t="s">
        <v>494</v>
      </c>
      <c r="C143" s="20" t="s">
        <v>196</v>
      </c>
      <c r="D143" s="20" t="s">
        <v>217</v>
      </c>
      <c r="E143" s="20" t="s">
        <v>175</v>
      </c>
      <c r="F143" s="20" t="s">
        <v>175</v>
      </c>
      <c r="G143" s="20" t="s">
        <v>218</v>
      </c>
      <c r="H143" s="21">
        <v>201.33</v>
      </c>
      <c r="I143" s="21">
        <v>41064.410000000018</v>
      </c>
    </row>
    <row r="144" spans="2:9" x14ac:dyDescent="0.45">
      <c r="B144" s="20" t="s">
        <v>213</v>
      </c>
      <c r="C144" s="20" t="s">
        <v>196</v>
      </c>
      <c r="D144" s="20" t="s">
        <v>175</v>
      </c>
      <c r="E144" s="20" t="s">
        <v>214</v>
      </c>
      <c r="F144" s="20" t="s">
        <v>215</v>
      </c>
      <c r="G144" s="20" t="s">
        <v>216</v>
      </c>
      <c r="H144" s="21">
        <v>101.76</v>
      </c>
      <c r="I144" s="21">
        <v>41166.17000000002</v>
      </c>
    </row>
    <row r="145" spans="1:9" x14ac:dyDescent="0.45">
      <c r="B145" s="20" t="s">
        <v>213</v>
      </c>
      <c r="C145" s="20" t="s">
        <v>196</v>
      </c>
      <c r="D145" s="20" t="s">
        <v>175</v>
      </c>
      <c r="E145" s="20" t="s">
        <v>175</v>
      </c>
      <c r="F145" s="20" t="s">
        <v>175</v>
      </c>
      <c r="G145" s="20" t="s">
        <v>199</v>
      </c>
      <c r="H145" s="21">
        <v>4408.99</v>
      </c>
      <c r="I145" s="21">
        <v>45575.160000000018</v>
      </c>
    </row>
    <row r="146" spans="1:9" x14ac:dyDescent="0.45">
      <c r="B146" s="20" t="s">
        <v>213</v>
      </c>
      <c r="C146" s="20" t="s">
        <v>196</v>
      </c>
      <c r="D146" s="20" t="s">
        <v>217</v>
      </c>
      <c r="E146" s="20" t="s">
        <v>175</v>
      </c>
      <c r="F146" s="20" t="s">
        <v>175</v>
      </c>
      <c r="G146" s="20" t="s">
        <v>218</v>
      </c>
      <c r="H146" s="21">
        <v>155</v>
      </c>
      <c r="I146" s="21">
        <v>45730.160000000018</v>
      </c>
    </row>
    <row r="147" spans="1:9" x14ac:dyDescent="0.45">
      <c r="A147" s="14" t="s">
        <v>219</v>
      </c>
      <c r="H147" s="22">
        <f>H126+H127+H128+H129+H130+H131+H132+H133+H134+H135+H136+H137+H138+H139+H140+H141+H142+H143+H144+H145+H146</f>
        <v>45730.160000000018</v>
      </c>
    </row>
    <row r="148" spans="1:9" x14ac:dyDescent="0.45">
      <c r="A148" s="7" t="s">
        <v>30</v>
      </c>
    </row>
    <row r="149" spans="1:9" x14ac:dyDescent="0.45">
      <c r="B149" s="20" t="s">
        <v>522</v>
      </c>
      <c r="C149" s="20" t="s">
        <v>196</v>
      </c>
      <c r="D149" s="20" t="s">
        <v>175</v>
      </c>
      <c r="E149" s="20" t="s">
        <v>175</v>
      </c>
      <c r="F149" s="20" t="s">
        <v>534</v>
      </c>
      <c r="G149" s="20" t="s">
        <v>199</v>
      </c>
      <c r="H149" s="21">
        <v>61160</v>
      </c>
      <c r="I149" s="21">
        <v>61160</v>
      </c>
    </row>
    <row r="150" spans="1:9" x14ac:dyDescent="0.45">
      <c r="A150" s="14" t="s">
        <v>535</v>
      </c>
      <c r="H150" s="22">
        <f>H149</f>
        <v>61160</v>
      </c>
    </row>
    <row r="151" spans="1:9" x14ac:dyDescent="0.45">
      <c r="A151" s="7" t="s">
        <v>31</v>
      </c>
    </row>
    <row r="152" spans="1:9" x14ac:dyDescent="0.45">
      <c r="B152" s="20" t="s">
        <v>435</v>
      </c>
      <c r="C152" s="20" t="s">
        <v>233</v>
      </c>
      <c r="D152" s="20" t="s">
        <v>536</v>
      </c>
      <c r="E152" s="20" t="s">
        <v>537</v>
      </c>
      <c r="F152" s="20" t="s">
        <v>538</v>
      </c>
      <c r="G152" s="20" t="s">
        <v>218</v>
      </c>
      <c r="H152" s="21">
        <v>-16924.63</v>
      </c>
      <c r="I152" s="21">
        <v>-16924.63</v>
      </c>
    </row>
    <row r="153" spans="1:9" x14ac:dyDescent="0.45">
      <c r="B153" s="20" t="s">
        <v>465</v>
      </c>
      <c r="C153" s="20" t="s">
        <v>196</v>
      </c>
      <c r="D153" s="20" t="s">
        <v>175</v>
      </c>
      <c r="E153" s="20" t="s">
        <v>175</v>
      </c>
      <c r="F153" s="20" t="s">
        <v>175</v>
      </c>
      <c r="G153" s="20" t="s">
        <v>199</v>
      </c>
      <c r="H153" s="21">
        <v>16924.63</v>
      </c>
      <c r="I153" s="23">
        <v>0</v>
      </c>
    </row>
    <row r="154" spans="1:9" x14ac:dyDescent="0.45">
      <c r="A154" s="14" t="s">
        <v>539</v>
      </c>
      <c r="H154" s="22">
        <f>H152+H153</f>
        <v>0</v>
      </c>
    </row>
    <row r="155" spans="1:9" x14ac:dyDescent="0.45">
      <c r="A155" s="7" t="s">
        <v>32</v>
      </c>
    </row>
    <row r="156" spans="1:9" x14ac:dyDescent="0.45">
      <c r="B156" s="20" t="s">
        <v>540</v>
      </c>
      <c r="C156" s="20" t="s">
        <v>233</v>
      </c>
      <c r="D156" s="20" t="s">
        <v>541</v>
      </c>
      <c r="E156" s="20" t="s">
        <v>542</v>
      </c>
      <c r="F156" s="20" t="s">
        <v>543</v>
      </c>
      <c r="G156" s="20" t="s">
        <v>218</v>
      </c>
      <c r="H156" s="21">
        <v>-14</v>
      </c>
      <c r="I156" s="21">
        <v>-14</v>
      </c>
    </row>
    <row r="157" spans="1:9" x14ac:dyDescent="0.45">
      <c r="A157" s="14" t="s">
        <v>544</v>
      </c>
      <c r="H157" s="22">
        <f>H156</f>
        <v>-14</v>
      </c>
    </row>
    <row r="158" spans="1:9" x14ac:dyDescent="0.45">
      <c r="A158" s="7" t="s">
        <v>33</v>
      </c>
    </row>
    <row r="159" spans="1:9" x14ac:dyDescent="0.45">
      <c r="B159" s="20" t="s">
        <v>520</v>
      </c>
      <c r="C159" s="20" t="s">
        <v>196</v>
      </c>
      <c r="D159" s="20" t="s">
        <v>175</v>
      </c>
      <c r="E159" s="20" t="s">
        <v>175</v>
      </c>
      <c r="F159" s="20" t="s">
        <v>175</v>
      </c>
      <c r="G159" s="20" t="s">
        <v>199</v>
      </c>
      <c r="H159" s="21">
        <v>25</v>
      </c>
      <c r="I159" s="21">
        <v>25</v>
      </c>
    </row>
    <row r="160" spans="1:9" x14ac:dyDescent="0.45">
      <c r="B160" s="20" t="s">
        <v>520</v>
      </c>
      <c r="C160" s="20" t="s">
        <v>196</v>
      </c>
      <c r="D160" s="20" t="s">
        <v>175</v>
      </c>
      <c r="E160" s="20" t="s">
        <v>175</v>
      </c>
      <c r="F160" s="20" t="s">
        <v>175</v>
      </c>
      <c r="G160" s="20" t="s">
        <v>199</v>
      </c>
      <c r="H160" s="21">
        <v>25</v>
      </c>
      <c r="I160" s="21">
        <v>50</v>
      </c>
    </row>
    <row r="161" spans="1:9" x14ac:dyDescent="0.45">
      <c r="B161" s="20" t="s">
        <v>521</v>
      </c>
      <c r="C161" s="20" t="s">
        <v>196</v>
      </c>
      <c r="D161" s="20" t="s">
        <v>175</v>
      </c>
      <c r="E161" s="20" t="s">
        <v>175</v>
      </c>
      <c r="F161" s="20" t="s">
        <v>175</v>
      </c>
      <c r="G161" s="20" t="s">
        <v>199</v>
      </c>
      <c r="H161" s="21">
        <v>25</v>
      </c>
      <c r="I161" s="21">
        <v>75</v>
      </c>
    </row>
    <row r="162" spans="1:9" x14ac:dyDescent="0.45">
      <c r="B162" s="20" t="s">
        <v>521</v>
      </c>
      <c r="C162" s="20" t="s">
        <v>196</v>
      </c>
      <c r="D162" s="20" t="s">
        <v>175</v>
      </c>
      <c r="E162" s="20" t="s">
        <v>175</v>
      </c>
      <c r="F162" s="20" t="s">
        <v>175</v>
      </c>
      <c r="G162" s="20" t="s">
        <v>199</v>
      </c>
      <c r="H162" s="21">
        <v>25</v>
      </c>
      <c r="I162" s="21">
        <v>100</v>
      </c>
    </row>
    <row r="163" spans="1:9" x14ac:dyDescent="0.45">
      <c r="B163" s="20" t="s">
        <v>521</v>
      </c>
      <c r="C163" s="20" t="s">
        <v>196</v>
      </c>
      <c r="D163" s="20" t="s">
        <v>175</v>
      </c>
      <c r="E163" s="20" t="s">
        <v>175</v>
      </c>
      <c r="F163" s="20" t="s">
        <v>175</v>
      </c>
      <c r="G163" s="20" t="s">
        <v>199</v>
      </c>
      <c r="H163" s="21">
        <v>350</v>
      </c>
      <c r="I163" s="21">
        <v>450</v>
      </c>
    </row>
    <row r="164" spans="1:9" x14ac:dyDescent="0.45">
      <c r="B164" s="20" t="s">
        <v>522</v>
      </c>
      <c r="C164" s="20" t="s">
        <v>196</v>
      </c>
      <c r="D164" s="20" t="s">
        <v>175</v>
      </c>
      <c r="E164" s="20" t="s">
        <v>175</v>
      </c>
      <c r="F164" s="20" t="s">
        <v>175</v>
      </c>
      <c r="G164" s="20" t="s">
        <v>199</v>
      </c>
      <c r="H164" s="21">
        <v>25</v>
      </c>
      <c r="I164" s="21">
        <v>475</v>
      </c>
    </row>
    <row r="165" spans="1:9" x14ac:dyDescent="0.45">
      <c r="B165" s="20" t="s">
        <v>522</v>
      </c>
      <c r="C165" s="20" t="s">
        <v>196</v>
      </c>
      <c r="D165" s="20" t="s">
        <v>175</v>
      </c>
      <c r="E165" s="20" t="s">
        <v>175</v>
      </c>
      <c r="F165" s="20" t="s">
        <v>175</v>
      </c>
      <c r="G165" s="20" t="s">
        <v>199</v>
      </c>
      <c r="H165" s="21">
        <v>25</v>
      </c>
      <c r="I165" s="21">
        <v>500</v>
      </c>
    </row>
    <row r="166" spans="1:9" x14ac:dyDescent="0.45">
      <c r="B166" s="20" t="s">
        <v>522</v>
      </c>
      <c r="C166" s="20" t="s">
        <v>196</v>
      </c>
      <c r="D166" s="20" t="s">
        <v>175</v>
      </c>
      <c r="E166" s="20" t="s">
        <v>175</v>
      </c>
      <c r="F166" s="20" t="s">
        <v>175</v>
      </c>
      <c r="G166" s="20" t="s">
        <v>199</v>
      </c>
      <c r="H166" s="21">
        <v>100</v>
      </c>
      <c r="I166" s="21">
        <v>600</v>
      </c>
    </row>
    <row r="167" spans="1:9" x14ac:dyDescent="0.45">
      <c r="B167" s="20" t="s">
        <v>516</v>
      </c>
      <c r="C167" s="20" t="s">
        <v>196</v>
      </c>
      <c r="D167" s="20" t="s">
        <v>175</v>
      </c>
      <c r="E167" s="20" t="s">
        <v>175</v>
      </c>
      <c r="F167" s="20" t="s">
        <v>175</v>
      </c>
      <c r="G167" s="20" t="s">
        <v>199</v>
      </c>
      <c r="H167" s="21">
        <v>100</v>
      </c>
      <c r="I167" s="21">
        <v>700</v>
      </c>
    </row>
    <row r="168" spans="1:9" x14ac:dyDescent="0.45">
      <c r="B168" s="20" t="s">
        <v>499</v>
      </c>
      <c r="C168" s="20" t="s">
        <v>196</v>
      </c>
      <c r="D168" s="20" t="s">
        <v>175</v>
      </c>
      <c r="E168" s="20" t="s">
        <v>175</v>
      </c>
      <c r="F168" s="20" t="s">
        <v>175</v>
      </c>
      <c r="G168" s="20" t="s">
        <v>199</v>
      </c>
      <c r="H168" s="21">
        <v>25</v>
      </c>
      <c r="I168" s="21">
        <v>725</v>
      </c>
    </row>
    <row r="169" spans="1:9" x14ac:dyDescent="0.45">
      <c r="B169" s="20" t="s">
        <v>499</v>
      </c>
      <c r="C169" s="20" t="s">
        <v>196</v>
      </c>
      <c r="D169" s="20" t="s">
        <v>175</v>
      </c>
      <c r="E169" s="20" t="s">
        <v>175</v>
      </c>
      <c r="F169" s="20" t="s">
        <v>175</v>
      </c>
      <c r="G169" s="20" t="s">
        <v>199</v>
      </c>
      <c r="H169" s="21">
        <v>100</v>
      </c>
      <c r="I169" s="21">
        <v>825</v>
      </c>
    </row>
    <row r="170" spans="1:9" x14ac:dyDescent="0.45">
      <c r="B170" s="20" t="s">
        <v>202</v>
      </c>
      <c r="C170" s="20" t="s">
        <v>196</v>
      </c>
      <c r="D170" s="20" t="s">
        <v>175</v>
      </c>
      <c r="E170" s="20" t="s">
        <v>175</v>
      </c>
      <c r="F170" s="20" t="s">
        <v>175</v>
      </c>
      <c r="G170" s="20" t="s">
        <v>199</v>
      </c>
      <c r="H170" s="21">
        <v>50</v>
      </c>
      <c r="I170" s="21">
        <v>875</v>
      </c>
    </row>
    <row r="171" spans="1:9" x14ac:dyDescent="0.45">
      <c r="A171" s="14" t="s">
        <v>220</v>
      </c>
      <c r="H171" s="22">
        <f>H159+H160+H161+H162+H163+H164+H165+H166+H167+H168+H169+H170</f>
        <v>875</v>
      </c>
    </row>
    <row r="172" spans="1:9" x14ac:dyDescent="0.45">
      <c r="A172" s="15" t="s">
        <v>221</v>
      </c>
      <c r="H172" s="22">
        <f>H147+H150+H154+H157+H171</f>
        <v>107751.16000000002</v>
      </c>
    </row>
    <row r="173" spans="1:9" x14ac:dyDescent="0.45">
      <c r="A173" s="7" t="s">
        <v>35</v>
      </c>
    </row>
    <row r="174" spans="1:9" x14ac:dyDescent="0.45">
      <c r="A174" s="7" t="s">
        <v>36</v>
      </c>
    </row>
    <row r="175" spans="1:9" x14ac:dyDescent="0.45">
      <c r="B175" s="20" t="s">
        <v>202</v>
      </c>
      <c r="C175" s="20" t="s">
        <v>196</v>
      </c>
      <c r="D175" s="20" t="s">
        <v>175</v>
      </c>
      <c r="E175" s="20" t="s">
        <v>222</v>
      </c>
      <c r="F175" s="20" t="s">
        <v>223</v>
      </c>
      <c r="G175" s="20" t="s">
        <v>216</v>
      </c>
      <c r="H175" s="21">
        <v>10000</v>
      </c>
      <c r="I175" s="21">
        <v>10000</v>
      </c>
    </row>
    <row r="176" spans="1:9" x14ac:dyDescent="0.45">
      <c r="A176" s="14" t="s">
        <v>224</v>
      </c>
      <c r="H176" s="22">
        <f>H175</f>
        <v>10000</v>
      </c>
    </row>
    <row r="177" spans="1:9" x14ac:dyDescent="0.45">
      <c r="A177" s="15" t="s">
        <v>225</v>
      </c>
      <c r="H177" s="22">
        <f>H176</f>
        <v>10000</v>
      </c>
    </row>
    <row r="178" spans="1:9" x14ac:dyDescent="0.45">
      <c r="A178" s="7" t="s">
        <v>38</v>
      </c>
    </row>
    <row r="179" spans="1:9" x14ac:dyDescent="0.45">
      <c r="B179" s="20" t="s">
        <v>529</v>
      </c>
      <c r="C179" s="20" t="s">
        <v>444</v>
      </c>
      <c r="D179" s="20" t="s">
        <v>545</v>
      </c>
      <c r="E179" s="20" t="s">
        <v>175</v>
      </c>
      <c r="F179" s="20" t="s">
        <v>546</v>
      </c>
      <c r="G179" s="20" t="s">
        <v>175</v>
      </c>
      <c r="H179" s="21">
        <v>4640.6499999999996</v>
      </c>
      <c r="I179" s="21">
        <v>4640.6499999999996</v>
      </c>
    </row>
    <row r="180" spans="1:9" ht="22.3" x14ac:dyDescent="0.45">
      <c r="B180" s="20" t="s">
        <v>547</v>
      </c>
      <c r="C180" s="20" t="s">
        <v>444</v>
      </c>
      <c r="D180" s="20" t="s">
        <v>548</v>
      </c>
      <c r="E180" s="20" t="s">
        <v>175</v>
      </c>
      <c r="F180" s="20" t="s">
        <v>549</v>
      </c>
      <c r="G180" s="20" t="s">
        <v>175</v>
      </c>
      <c r="H180" s="21">
        <v>85984.2</v>
      </c>
      <c r="I180" s="21">
        <v>90624.849999999991</v>
      </c>
    </row>
    <row r="181" spans="1:9" x14ac:dyDescent="0.45">
      <c r="B181" s="20" t="s">
        <v>531</v>
      </c>
      <c r="C181" s="20" t="s">
        <v>444</v>
      </c>
      <c r="D181" s="20" t="s">
        <v>550</v>
      </c>
      <c r="E181" s="20" t="s">
        <v>175</v>
      </c>
      <c r="F181" s="20" t="s">
        <v>546</v>
      </c>
      <c r="G181" s="20" t="s">
        <v>175</v>
      </c>
      <c r="H181" s="21">
        <v>3989.6</v>
      </c>
      <c r="I181" s="21">
        <v>94614.45</v>
      </c>
    </row>
    <row r="182" spans="1:9" x14ac:dyDescent="0.45">
      <c r="B182" s="20" t="s">
        <v>532</v>
      </c>
      <c r="C182" s="20" t="s">
        <v>444</v>
      </c>
      <c r="D182" s="20" t="s">
        <v>551</v>
      </c>
      <c r="E182" s="20" t="s">
        <v>175</v>
      </c>
      <c r="F182" s="20" t="s">
        <v>546</v>
      </c>
      <c r="G182" s="20" t="s">
        <v>175</v>
      </c>
      <c r="H182" s="21">
        <v>9267.65</v>
      </c>
      <c r="I182" s="21">
        <v>103882.09999999999</v>
      </c>
    </row>
    <row r="183" spans="1:9" x14ac:dyDescent="0.45">
      <c r="B183" s="20" t="s">
        <v>533</v>
      </c>
      <c r="C183" s="20" t="s">
        <v>444</v>
      </c>
      <c r="D183" s="20" t="s">
        <v>552</v>
      </c>
      <c r="E183" s="20" t="s">
        <v>175</v>
      </c>
      <c r="F183" s="20" t="s">
        <v>546</v>
      </c>
      <c r="G183" s="20" t="s">
        <v>175</v>
      </c>
      <c r="H183" s="21">
        <v>2529.5</v>
      </c>
      <c r="I183" s="21">
        <v>106411.59999999999</v>
      </c>
    </row>
    <row r="184" spans="1:9" x14ac:dyDescent="0.45">
      <c r="B184" s="20" t="s">
        <v>494</v>
      </c>
      <c r="C184" s="20" t="s">
        <v>444</v>
      </c>
      <c r="D184" s="20" t="s">
        <v>553</v>
      </c>
      <c r="E184" s="20" t="s">
        <v>175</v>
      </c>
      <c r="F184" s="20" t="s">
        <v>546</v>
      </c>
      <c r="G184" s="20" t="s">
        <v>175</v>
      </c>
      <c r="H184" s="21">
        <v>13806</v>
      </c>
      <c r="I184" s="21">
        <v>120217.59999999999</v>
      </c>
    </row>
    <row r="185" spans="1:9" x14ac:dyDescent="0.45">
      <c r="A185" s="15" t="s">
        <v>554</v>
      </c>
      <c r="H185" s="22">
        <f>H179+H180+H181+H182+H183+H184</f>
        <v>120217.59999999999</v>
      </c>
    </row>
    <row r="186" spans="1:9" x14ac:dyDescent="0.45">
      <c r="A186" s="7" t="s">
        <v>39</v>
      </c>
    </row>
    <row r="187" spans="1:9" x14ac:dyDescent="0.45">
      <c r="B187" s="20" t="s">
        <v>555</v>
      </c>
      <c r="C187" s="20" t="s">
        <v>196</v>
      </c>
      <c r="D187" s="20" t="s">
        <v>175</v>
      </c>
      <c r="E187" s="20" t="s">
        <v>197</v>
      </c>
      <c r="F187" s="20" t="s">
        <v>556</v>
      </c>
      <c r="G187" s="20" t="s">
        <v>199</v>
      </c>
      <c r="H187" s="21">
        <v>33057.72</v>
      </c>
      <c r="I187" s="21">
        <v>33057.72</v>
      </c>
    </row>
    <row r="188" spans="1:9" x14ac:dyDescent="0.45">
      <c r="B188" s="20" t="s">
        <v>502</v>
      </c>
      <c r="C188" s="20" t="s">
        <v>196</v>
      </c>
      <c r="D188" s="20" t="s">
        <v>175</v>
      </c>
      <c r="E188" s="20" t="s">
        <v>197</v>
      </c>
      <c r="F188" s="20" t="s">
        <v>557</v>
      </c>
      <c r="G188" s="20" t="s">
        <v>199</v>
      </c>
      <c r="H188" s="21">
        <v>8.61</v>
      </c>
      <c r="I188" s="21">
        <v>33066.33</v>
      </c>
    </row>
    <row r="189" spans="1:9" x14ac:dyDescent="0.45">
      <c r="B189" s="20" t="s">
        <v>558</v>
      </c>
      <c r="C189" s="20" t="s">
        <v>196</v>
      </c>
      <c r="D189" s="20" t="s">
        <v>175</v>
      </c>
      <c r="E189" s="20" t="s">
        <v>197</v>
      </c>
      <c r="F189" s="20" t="s">
        <v>559</v>
      </c>
      <c r="G189" s="20" t="s">
        <v>199</v>
      </c>
      <c r="H189" s="21">
        <v>33057.72</v>
      </c>
      <c r="I189" s="21">
        <v>66124.05</v>
      </c>
    </row>
    <row r="190" spans="1:9" x14ac:dyDescent="0.45">
      <c r="B190" s="20" t="s">
        <v>195</v>
      </c>
      <c r="C190" s="20" t="s">
        <v>196</v>
      </c>
      <c r="D190" s="20" t="s">
        <v>175</v>
      </c>
      <c r="E190" s="20" t="s">
        <v>197</v>
      </c>
      <c r="F190" s="20" t="s">
        <v>226</v>
      </c>
      <c r="G190" s="20" t="s">
        <v>199</v>
      </c>
      <c r="H190" s="21">
        <v>33057.72</v>
      </c>
      <c r="I190" s="21">
        <v>99181.77</v>
      </c>
    </row>
    <row r="191" spans="1:9" x14ac:dyDescent="0.45">
      <c r="A191" s="15" t="s">
        <v>227</v>
      </c>
      <c r="H191" s="22">
        <f>H187+H188+H189+H190</f>
        <v>99181.77</v>
      </c>
    </row>
    <row r="192" spans="1:9" x14ac:dyDescent="0.45">
      <c r="A192" s="7" t="s">
        <v>40</v>
      </c>
    </row>
    <row r="193" spans="2:9" x14ac:dyDescent="0.45">
      <c r="B193" s="20" t="s">
        <v>462</v>
      </c>
      <c r="C193" s="20" t="s">
        <v>196</v>
      </c>
      <c r="D193" s="20" t="s">
        <v>175</v>
      </c>
      <c r="E193" s="20" t="s">
        <v>175</v>
      </c>
      <c r="F193" s="20" t="s">
        <v>175</v>
      </c>
      <c r="G193" s="20" t="s">
        <v>199</v>
      </c>
      <c r="H193" s="21">
        <v>125</v>
      </c>
      <c r="I193" s="21">
        <v>125</v>
      </c>
    </row>
    <row r="194" spans="2:9" x14ac:dyDescent="0.45">
      <c r="B194" s="20" t="s">
        <v>462</v>
      </c>
      <c r="C194" s="20" t="s">
        <v>196</v>
      </c>
      <c r="D194" s="20" t="s">
        <v>175</v>
      </c>
      <c r="E194" s="20" t="s">
        <v>175</v>
      </c>
      <c r="F194" s="20" t="s">
        <v>175</v>
      </c>
      <c r="G194" s="20" t="s">
        <v>199</v>
      </c>
      <c r="H194" s="21">
        <v>100</v>
      </c>
      <c r="I194" s="21">
        <v>225</v>
      </c>
    </row>
    <row r="195" spans="2:9" x14ac:dyDescent="0.45">
      <c r="B195" s="20" t="s">
        <v>463</v>
      </c>
      <c r="C195" s="20" t="s">
        <v>196</v>
      </c>
      <c r="D195" s="20" t="s">
        <v>175</v>
      </c>
      <c r="E195" s="20" t="s">
        <v>175</v>
      </c>
      <c r="F195" s="20" t="s">
        <v>175</v>
      </c>
      <c r="G195" s="20" t="s">
        <v>199</v>
      </c>
      <c r="H195" s="21">
        <v>100</v>
      </c>
      <c r="I195" s="21">
        <v>325</v>
      </c>
    </row>
    <row r="196" spans="2:9" x14ac:dyDescent="0.45">
      <c r="B196" s="20" t="s">
        <v>464</v>
      </c>
      <c r="C196" s="20" t="s">
        <v>196</v>
      </c>
      <c r="D196" s="20" t="s">
        <v>175</v>
      </c>
      <c r="E196" s="20" t="s">
        <v>175</v>
      </c>
      <c r="F196" s="20" t="s">
        <v>175</v>
      </c>
      <c r="G196" s="20" t="s">
        <v>199</v>
      </c>
      <c r="H196" s="21">
        <v>220</v>
      </c>
      <c r="I196" s="21">
        <v>545</v>
      </c>
    </row>
    <row r="197" spans="2:9" x14ac:dyDescent="0.45">
      <c r="B197" s="20" t="s">
        <v>464</v>
      </c>
      <c r="C197" s="20" t="s">
        <v>196</v>
      </c>
      <c r="D197" s="20" t="s">
        <v>175</v>
      </c>
      <c r="E197" s="20" t="s">
        <v>175</v>
      </c>
      <c r="F197" s="20" t="s">
        <v>175</v>
      </c>
      <c r="G197" s="20" t="s">
        <v>199</v>
      </c>
      <c r="H197" s="21">
        <v>160</v>
      </c>
      <c r="I197" s="21">
        <v>705</v>
      </c>
    </row>
    <row r="198" spans="2:9" x14ac:dyDescent="0.45">
      <c r="B198" s="20" t="s">
        <v>465</v>
      </c>
      <c r="C198" s="20" t="s">
        <v>196</v>
      </c>
      <c r="D198" s="20" t="s">
        <v>175</v>
      </c>
      <c r="E198" s="20" t="s">
        <v>175</v>
      </c>
      <c r="F198" s="20" t="s">
        <v>175</v>
      </c>
      <c r="G198" s="20" t="s">
        <v>199</v>
      </c>
      <c r="H198" s="21">
        <v>120</v>
      </c>
      <c r="I198" s="21">
        <v>825</v>
      </c>
    </row>
    <row r="199" spans="2:9" x14ac:dyDescent="0.45">
      <c r="B199" s="20" t="s">
        <v>466</v>
      </c>
      <c r="C199" s="20" t="s">
        <v>196</v>
      </c>
      <c r="D199" s="20" t="s">
        <v>175</v>
      </c>
      <c r="E199" s="20" t="s">
        <v>175</v>
      </c>
      <c r="F199" s="20" t="s">
        <v>175</v>
      </c>
      <c r="G199" s="20" t="s">
        <v>199</v>
      </c>
      <c r="H199" s="21">
        <v>300</v>
      </c>
      <c r="I199" s="21">
        <v>1125</v>
      </c>
    </row>
    <row r="200" spans="2:9" x14ac:dyDescent="0.45">
      <c r="B200" s="20" t="s">
        <v>466</v>
      </c>
      <c r="C200" s="20" t="s">
        <v>196</v>
      </c>
      <c r="D200" s="20" t="s">
        <v>175</v>
      </c>
      <c r="E200" s="20" t="s">
        <v>175</v>
      </c>
      <c r="F200" s="20" t="s">
        <v>175</v>
      </c>
      <c r="G200" s="20" t="s">
        <v>199</v>
      </c>
      <c r="H200" s="21">
        <v>200</v>
      </c>
      <c r="I200" s="21">
        <v>1325</v>
      </c>
    </row>
    <row r="201" spans="2:9" x14ac:dyDescent="0.45">
      <c r="B201" s="20" t="s">
        <v>467</v>
      </c>
      <c r="C201" s="20" t="s">
        <v>196</v>
      </c>
      <c r="D201" s="20" t="s">
        <v>175</v>
      </c>
      <c r="E201" s="20" t="s">
        <v>448</v>
      </c>
      <c r="F201" s="20" t="s">
        <v>175</v>
      </c>
      <c r="G201" s="20" t="s">
        <v>199</v>
      </c>
      <c r="H201" s="21">
        <v>100</v>
      </c>
      <c r="I201" s="21">
        <v>1425</v>
      </c>
    </row>
    <row r="202" spans="2:9" x14ac:dyDescent="0.45">
      <c r="B202" s="20" t="s">
        <v>520</v>
      </c>
      <c r="C202" s="20" t="s">
        <v>196</v>
      </c>
      <c r="D202" s="20" t="s">
        <v>175</v>
      </c>
      <c r="E202" s="20" t="s">
        <v>175</v>
      </c>
      <c r="F202" s="20" t="s">
        <v>175</v>
      </c>
      <c r="G202" s="20" t="s">
        <v>199</v>
      </c>
      <c r="H202" s="21">
        <v>150</v>
      </c>
      <c r="I202" s="21">
        <v>1575</v>
      </c>
    </row>
    <row r="203" spans="2:9" x14ac:dyDescent="0.45">
      <c r="B203" s="20" t="s">
        <v>520</v>
      </c>
      <c r="C203" s="20" t="s">
        <v>196</v>
      </c>
      <c r="D203" s="20" t="s">
        <v>175</v>
      </c>
      <c r="E203" s="20" t="s">
        <v>175</v>
      </c>
      <c r="F203" s="20" t="s">
        <v>175</v>
      </c>
      <c r="G203" s="20" t="s">
        <v>199</v>
      </c>
      <c r="H203" s="21">
        <v>90</v>
      </c>
      <c r="I203" s="21">
        <v>1665</v>
      </c>
    </row>
    <row r="204" spans="2:9" x14ac:dyDescent="0.45">
      <c r="B204" s="20" t="s">
        <v>520</v>
      </c>
      <c r="C204" s="20" t="s">
        <v>196</v>
      </c>
      <c r="D204" s="20" t="s">
        <v>175</v>
      </c>
      <c r="E204" s="20" t="s">
        <v>175</v>
      </c>
      <c r="F204" s="20" t="s">
        <v>175</v>
      </c>
      <c r="G204" s="20" t="s">
        <v>199</v>
      </c>
      <c r="H204" s="21">
        <v>160</v>
      </c>
      <c r="I204" s="21">
        <v>1825</v>
      </c>
    </row>
    <row r="205" spans="2:9" x14ac:dyDescent="0.45">
      <c r="B205" s="20" t="s">
        <v>521</v>
      </c>
      <c r="C205" s="20" t="s">
        <v>196</v>
      </c>
      <c r="D205" s="20" t="s">
        <v>175</v>
      </c>
      <c r="E205" s="20" t="s">
        <v>175</v>
      </c>
      <c r="F205" s="20" t="s">
        <v>175</v>
      </c>
      <c r="G205" s="20" t="s">
        <v>199</v>
      </c>
      <c r="H205" s="21">
        <v>75</v>
      </c>
      <c r="I205" s="21">
        <v>1900</v>
      </c>
    </row>
    <row r="206" spans="2:9" x14ac:dyDescent="0.45">
      <c r="B206" s="20" t="s">
        <v>521</v>
      </c>
      <c r="C206" s="20" t="s">
        <v>196</v>
      </c>
      <c r="D206" s="20" t="s">
        <v>175</v>
      </c>
      <c r="E206" s="20" t="s">
        <v>175</v>
      </c>
      <c r="F206" s="20" t="s">
        <v>175</v>
      </c>
      <c r="G206" s="20" t="s">
        <v>199</v>
      </c>
      <c r="H206" s="21">
        <v>100</v>
      </c>
      <c r="I206" s="21">
        <v>2000</v>
      </c>
    </row>
    <row r="207" spans="2:9" x14ac:dyDescent="0.45">
      <c r="B207" s="20" t="s">
        <v>521</v>
      </c>
      <c r="C207" s="20" t="s">
        <v>196</v>
      </c>
      <c r="D207" s="20" t="s">
        <v>175</v>
      </c>
      <c r="E207" s="20" t="s">
        <v>175</v>
      </c>
      <c r="F207" s="20" t="s">
        <v>175</v>
      </c>
      <c r="G207" s="20" t="s">
        <v>199</v>
      </c>
      <c r="H207" s="21">
        <v>75</v>
      </c>
      <c r="I207" s="21">
        <v>2075</v>
      </c>
    </row>
    <row r="208" spans="2:9" x14ac:dyDescent="0.45">
      <c r="B208" s="20" t="s">
        <v>521</v>
      </c>
      <c r="C208" s="20" t="s">
        <v>196</v>
      </c>
      <c r="D208" s="20" t="s">
        <v>175</v>
      </c>
      <c r="E208" s="20" t="s">
        <v>175</v>
      </c>
      <c r="F208" s="20" t="s">
        <v>175</v>
      </c>
      <c r="G208" s="20" t="s">
        <v>199</v>
      </c>
      <c r="H208" s="21">
        <v>100</v>
      </c>
      <c r="I208" s="21">
        <v>2175</v>
      </c>
    </row>
    <row r="209" spans="2:9" x14ac:dyDescent="0.45">
      <c r="B209" s="20" t="s">
        <v>522</v>
      </c>
      <c r="C209" s="20" t="s">
        <v>196</v>
      </c>
      <c r="D209" s="20" t="s">
        <v>175</v>
      </c>
      <c r="E209" s="20" t="s">
        <v>175</v>
      </c>
      <c r="F209" s="20" t="s">
        <v>175</v>
      </c>
      <c r="G209" s="20" t="s">
        <v>199</v>
      </c>
      <c r="H209" s="21">
        <v>80</v>
      </c>
      <c r="I209" s="21">
        <v>2255</v>
      </c>
    </row>
    <row r="210" spans="2:9" x14ac:dyDescent="0.45">
      <c r="B210" s="20" t="s">
        <v>522</v>
      </c>
      <c r="C210" s="20" t="s">
        <v>196</v>
      </c>
      <c r="D210" s="20" t="s">
        <v>175</v>
      </c>
      <c r="E210" s="20" t="s">
        <v>175</v>
      </c>
      <c r="F210" s="20" t="s">
        <v>175</v>
      </c>
      <c r="G210" s="20" t="s">
        <v>199</v>
      </c>
      <c r="H210" s="21">
        <v>75</v>
      </c>
      <c r="I210" s="21">
        <v>2330</v>
      </c>
    </row>
    <row r="211" spans="2:9" x14ac:dyDescent="0.45">
      <c r="B211" s="20" t="s">
        <v>522</v>
      </c>
      <c r="C211" s="20" t="s">
        <v>196</v>
      </c>
      <c r="D211" s="20" t="s">
        <v>175</v>
      </c>
      <c r="E211" s="20" t="s">
        <v>175</v>
      </c>
      <c r="F211" s="20" t="s">
        <v>175</v>
      </c>
      <c r="G211" s="20" t="s">
        <v>199</v>
      </c>
      <c r="H211" s="21">
        <v>100</v>
      </c>
      <c r="I211" s="21">
        <v>2430</v>
      </c>
    </row>
    <row r="212" spans="2:9" x14ac:dyDescent="0.45">
      <c r="B212" s="20" t="s">
        <v>522</v>
      </c>
      <c r="C212" s="20" t="s">
        <v>196</v>
      </c>
      <c r="D212" s="20" t="s">
        <v>175</v>
      </c>
      <c r="E212" s="20" t="s">
        <v>175</v>
      </c>
      <c r="F212" s="20" t="s">
        <v>175</v>
      </c>
      <c r="G212" s="20" t="s">
        <v>199</v>
      </c>
      <c r="H212" s="21">
        <v>300</v>
      </c>
      <c r="I212" s="21">
        <v>2730</v>
      </c>
    </row>
    <row r="213" spans="2:9" x14ac:dyDescent="0.45">
      <c r="B213" s="20" t="s">
        <v>522</v>
      </c>
      <c r="C213" s="20" t="s">
        <v>196</v>
      </c>
      <c r="D213" s="20" t="s">
        <v>175</v>
      </c>
      <c r="E213" s="20" t="s">
        <v>175</v>
      </c>
      <c r="F213" s="20" t="s">
        <v>175</v>
      </c>
      <c r="G213" s="20" t="s">
        <v>199</v>
      </c>
      <c r="H213" s="21">
        <v>100</v>
      </c>
      <c r="I213" s="21">
        <v>2830</v>
      </c>
    </row>
    <row r="214" spans="2:9" x14ac:dyDescent="0.45">
      <c r="B214" s="20" t="s">
        <v>522</v>
      </c>
      <c r="C214" s="20" t="s">
        <v>196</v>
      </c>
      <c r="D214" s="20" t="s">
        <v>175</v>
      </c>
      <c r="E214" s="20" t="s">
        <v>175</v>
      </c>
      <c r="F214" s="20" t="s">
        <v>175</v>
      </c>
      <c r="G214" s="20" t="s">
        <v>199</v>
      </c>
      <c r="H214" s="21">
        <v>120</v>
      </c>
      <c r="I214" s="21">
        <v>2950</v>
      </c>
    </row>
    <row r="215" spans="2:9" x14ac:dyDescent="0.45">
      <c r="B215" s="20" t="s">
        <v>522</v>
      </c>
      <c r="C215" s="20" t="s">
        <v>196</v>
      </c>
      <c r="D215" s="20" t="s">
        <v>175</v>
      </c>
      <c r="E215" s="20" t="s">
        <v>175</v>
      </c>
      <c r="F215" s="20" t="s">
        <v>175</v>
      </c>
      <c r="G215" s="20" t="s">
        <v>199</v>
      </c>
      <c r="H215" s="21">
        <v>200</v>
      </c>
      <c r="I215" s="21">
        <v>3150</v>
      </c>
    </row>
    <row r="216" spans="2:9" x14ac:dyDescent="0.45">
      <c r="B216" s="20" t="s">
        <v>522</v>
      </c>
      <c r="C216" s="20" t="s">
        <v>196</v>
      </c>
      <c r="D216" s="20" t="s">
        <v>175</v>
      </c>
      <c r="E216" s="20" t="s">
        <v>175</v>
      </c>
      <c r="F216" s="20" t="s">
        <v>175</v>
      </c>
      <c r="G216" s="20" t="s">
        <v>199</v>
      </c>
      <c r="H216" s="21">
        <v>100</v>
      </c>
      <c r="I216" s="21">
        <v>3250</v>
      </c>
    </row>
    <row r="217" spans="2:9" x14ac:dyDescent="0.45">
      <c r="B217" s="20" t="s">
        <v>522</v>
      </c>
      <c r="C217" s="20" t="s">
        <v>196</v>
      </c>
      <c r="D217" s="20" t="s">
        <v>175</v>
      </c>
      <c r="E217" s="20" t="s">
        <v>175</v>
      </c>
      <c r="F217" s="20" t="s">
        <v>175</v>
      </c>
      <c r="G217" s="20" t="s">
        <v>199</v>
      </c>
      <c r="H217" s="21">
        <v>160</v>
      </c>
      <c r="I217" s="21">
        <v>3410</v>
      </c>
    </row>
    <row r="218" spans="2:9" x14ac:dyDescent="0.45">
      <c r="B218" s="20" t="s">
        <v>516</v>
      </c>
      <c r="C218" s="20" t="s">
        <v>196</v>
      </c>
      <c r="D218" s="20" t="s">
        <v>175</v>
      </c>
      <c r="E218" s="20" t="s">
        <v>175</v>
      </c>
      <c r="F218" s="20" t="s">
        <v>175</v>
      </c>
      <c r="G218" s="20" t="s">
        <v>199</v>
      </c>
      <c r="H218" s="21">
        <v>300</v>
      </c>
      <c r="I218" s="21">
        <v>3710</v>
      </c>
    </row>
    <row r="219" spans="2:9" x14ac:dyDescent="0.45">
      <c r="B219" s="20" t="s">
        <v>516</v>
      </c>
      <c r="C219" s="20" t="s">
        <v>196</v>
      </c>
      <c r="D219" s="20" t="s">
        <v>175</v>
      </c>
      <c r="E219" s="20" t="s">
        <v>175</v>
      </c>
      <c r="F219" s="20" t="s">
        <v>175</v>
      </c>
      <c r="G219" s="20" t="s">
        <v>199</v>
      </c>
      <c r="H219" s="21">
        <v>120</v>
      </c>
      <c r="I219" s="21">
        <v>3830</v>
      </c>
    </row>
    <row r="220" spans="2:9" x14ac:dyDescent="0.45">
      <c r="B220" s="20" t="s">
        <v>516</v>
      </c>
      <c r="C220" s="20" t="s">
        <v>196</v>
      </c>
      <c r="D220" s="20" t="s">
        <v>175</v>
      </c>
      <c r="E220" s="20" t="s">
        <v>175</v>
      </c>
      <c r="F220" s="20" t="s">
        <v>175</v>
      </c>
      <c r="G220" s="20" t="s">
        <v>199</v>
      </c>
      <c r="H220" s="21">
        <v>300</v>
      </c>
      <c r="I220" s="21">
        <v>4130</v>
      </c>
    </row>
    <row r="221" spans="2:9" x14ac:dyDescent="0.45">
      <c r="B221" s="20" t="s">
        <v>516</v>
      </c>
      <c r="C221" s="20" t="s">
        <v>196</v>
      </c>
      <c r="D221" s="20" t="s">
        <v>175</v>
      </c>
      <c r="E221" s="20" t="s">
        <v>175</v>
      </c>
      <c r="F221" s="20" t="s">
        <v>175</v>
      </c>
      <c r="G221" s="20" t="s">
        <v>199</v>
      </c>
      <c r="H221" s="21">
        <v>100</v>
      </c>
      <c r="I221" s="21">
        <v>4230</v>
      </c>
    </row>
    <row r="222" spans="2:9" x14ac:dyDescent="0.45">
      <c r="B222" s="20" t="s">
        <v>516</v>
      </c>
      <c r="C222" s="20" t="s">
        <v>196</v>
      </c>
      <c r="D222" s="20" t="s">
        <v>175</v>
      </c>
      <c r="E222" s="20" t="s">
        <v>175</v>
      </c>
      <c r="F222" s="20" t="s">
        <v>175</v>
      </c>
      <c r="G222" s="20" t="s">
        <v>199</v>
      </c>
      <c r="H222" s="21">
        <v>120</v>
      </c>
      <c r="I222" s="21">
        <v>4350</v>
      </c>
    </row>
    <row r="223" spans="2:9" x14ac:dyDescent="0.45">
      <c r="B223" s="20" t="s">
        <v>516</v>
      </c>
      <c r="C223" s="20" t="s">
        <v>196</v>
      </c>
      <c r="D223" s="20" t="s">
        <v>175</v>
      </c>
      <c r="E223" s="20" t="s">
        <v>175</v>
      </c>
      <c r="F223" s="20" t="s">
        <v>175</v>
      </c>
      <c r="G223" s="20" t="s">
        <v>199</v>
      </c>
      <c r="H223" s="21">
        <v>125</v>
      </c>
      <c r="I223" s="21">
        <v>4475</v>
      </c>
    </row>
    <row r="224" spans="2:9" x14ac:dyDescent="0.45">
      <c r="B224" s="20" t="s">
        <v>499</v>
      </c>
      <c r="C224" s="20" t="s">
        <v>196</v>
      </c>
      <c r="D224" s="20" t="s">
        <v>175</v>
      </c>
      <c r="E224" s="20" t="s">
        <v>175</v>
      </c>
      <c r="F224" s="20" t="s">
        <v>175</v>
      </c>
      <c r="G224" s="20" t="s">
        <v>199</v>
      </c>
      <c r="H224" s="21">
        <v>300</v>
      </c>
      <c r="I224" s="21">
        <v>4775</v>
      </c>
    </row>
    <row r="225" spans="2:9" x14ac:dyDescent="0.45">
      <c r="B225" s="20" t="s">
        <v>499</v>
      </c>
      <c r="C225" s="20" t="s">
        <v>196</v>
      </c>
      <c r="D225" s="20" t="s">
        <v>175</v>
      </c>
      <c r="E225" s="20" t="s">
        <v>175</v>
      </c>
      <c r="F225" s="20" t="s">
        <v>175</v>
      </c>
      <c r="G225" s="20" t="s">
        <v>199</v>
      </c>
      <c r="H225" s="21">
        <v>120</v>
      </c>
      <c r="I225" s="21">
        <v>4895</v>
      </c>
    </row>
    <row r="226" spans="2:9" x14ac:dyDescent="0.45">
      <c r="B226" s="20" t="s">
        <v>499</v>
      </c>
      <c r="C226" s="20" t="s">
        <v>196</v>
      </c>
      <c r="D226" s="20" t="s">
        <v>175</v>
      </c>
      <c r="E226" s="20" t="s">
        <v>175</v>
      </c>
      <c r="F226" s="20" t="s">
        <v>175</v>
      </c>
      <c r="G226" s="20" t="s">
        <v>199</v>
      </c>
      <c r="H226" s="21">
        <v>100</v>
      </c>
      <c r="I226" s="21">
        <v>4995</v>
      </c>
    </row>
    <row r="227" spans="2:9" x14ac:dyDescent="0.45">
      <c r="B227" s="20" t="s">
        <v>499</v>
      </c>
      <c r="C227" s="20" t="s">
        <v>196</v>
      </c>
      <c r="D227" s="20" t="s">
        <v>175</v>
      </c>
      <c r="E227" s="20" t="s">
        <v>175</v>
      </c>
      <c r="F227" s="20" t="s">
        <v>175</v>
      </c>
      <c r="G227" s="20" t="s">
        <v>199</v>
      </c>
      <c r="H227" s="21">
        <v>120</v>
      </c>
      <c r="I227" s="21">
        <v>5115</v>
      </c>
    </row>
    <row r="228" spans="2:9" x14ac:dyDescent="0.45">
      <c r="B228" s="20" t="s">
        <v>499</v>
      </c>
      <c r="C228" s="20" t="s">
        <v>196</v>
      </c>
      <c r="D228" s="20" t="s">
        <v>175</v>
      </c>
      <c r="E228" s="20" t="s">
        <v>175</v>
      </c>
      <c r="F228" s="20" t="s">
        <v>175</v>
      </c>
      <c r="G228" s="20" t="s">
        <v>199</v>
      </c>
      <c r="H228" s="21">
        <v>75</v>
      </c>
      <c r="I228" s="21">
        <v>5190</v>
      </c>
    </row>
    <row r="229" spans="2:9" x14ac:dyDescent="0.45">
      <c r="B229" s="20" t="s">
        <v>499</v>
      </c>
      <c r="C229" s="20" t="s">
        <v>196</v>
      </c>
      <c r="D229" s="20" t="s">
        <v>175</v>
      </c>
      <c r="E229" s="20" t="s">
        <v>175</v>
      </c>
      <c r="F229" s="20" t="s">
        <v>175</v>
      </c>
      <c r="G229" s="20" t="s">
        <v>199</v>
      </c>
      <c r="H229" s="21">
        <v>160</v>
      </c>
      <c r="I229" s="21">
        <v>5350</v>
      </c>
    </row>
    <row r="230" spans="2:9" x14ac:dyDescent="0.45">
      <c r="B230" s="20" t="s">
        <v>499</v>
      </c>
      <c r="C230" s="20" t="s">
        <v>196</v>
      </c>
      <c r="D230" s="20" t="s">
        <v>175</v>
      </c>
      <c r="E230" s="20" t="s">
        <v>175</v>
      </c>
      <c r="F230" s="20" t="s">
        <v>175</v>
      </c>
      <c r="G230" s="20" t="s">
        <v>199</v>
      </c>
      <c r="H230" s="21">
        <v>300</v>
      </c>
      <c r="I230" s="21">
        <v>5650</v>
      </c>
    </row>
    <row r="231" spans="2:9" x14ac:dyDescent="0.45">
      <c r="B231" s="20" t="s">
        <v>499</v>
      </c>
      <c r="C231" s="20" t="s">
        <v>196</v>
      </c>
      <c r="D231" s="20" t="s">
        <v>175</v>
      </c>
      <c r="E231" s="20" t="s">
        <v>175</v>
      </c>
      <c r="F231" s="20" t="s">
        <v>175</v>
      </c>
      <c r="G231" s="20" t="s">
        <v>199</v>
      </c>
      <c r="H231" s="21">
        <v>160</v>
      </c>
      <c r="I231" s="21">
        <v>5810</v>
      </c>
    </row>
    <row r="232" spans="2:9" x14ac:dyDescent="0.45">
      <c r="B232" s="20" t="s">
        <v>499</v>
      </c>
      <c r="C232" s="20" t="s">
        <v>196</v>
      </c>
      <c r="D232" s="20" t="s">
        <v>175</v>
      </c>
      <c r="E232" s="20" t="s">
        <v>175</v>
      </c>
      <c r="F232" s="20" t="s">
        <v>175</v>
      </c>
      <c r="G232" s="20" t="s">
        <v>199</v>
      </c>
      <c r="H232" s="21">
        <v>100</v>
      </c>
      <c r="I232" s="21">
        <v>5910</v>
      </c>
    </row>
    <row r="233" spans="2:9" x14ac:dyDescent="0.45">
      <c r="B233" s="20" t="s">
        <v>202</v>
      </c>
      <c r="C233" s="20" t="s">
        <v>196</v>
      </c>
      <c r="D233" s="20" t="s">
        <v>175</v>
      </c>
      <c r="E233" s="20" t="s">
        <v>175</v>
      </c>
      <c r="F233" s="20" t="s">
        <v>175</v>
      </c>
      <c r="G233" s="20" t="s">
        <v>199</v>
      </c>
      <c r="H233" s="21">
        <v>300</v>
      </c>
      <c r="I233" s="21">
        <v>6210</v>
      </c>
    </row>
    <row r="234" spans="2:9" x14ac:dyDescent="0.45">
      <c r="B234" s="20" t="s">
        <v>202</v>
      </c>
      <c r="C234" s="20" t="s">
        <v>196</v>
      </c>
      <c r="D234" s="20" t="s">
        <v>175</v>
      </c>
      <c r="E234" s="20" t="s">
        <v>175</v>
      </c>
      <c r="F234" s="20" t="s">
        <v>175</v>
      </c>
      <c r="G234" s="20" t="s">
        <v>199</v>
      </c>
      <c r="H234" s="21">
        <v>150</v>
      </c>
      <c r="I234" s="21">
        <v>6360</v>
      </c>
    </row>
    <row r="235" spans="2:9" x14ac:dyDescent="0.45">
      <c r="B235" s="20" t="s">
        <v>202</v>
      </c>
      <c r="C235" s="20" t="s">
        <v>196</v>
      </c>
      <c r="D235" s="20" t="s">
        <v>175</v>
      </c>
      <c r="E235" s="20" t="s">
        <v>175</v>
      </c>
      <c r="F235" s="20" t="s">
        <v>175</v>
      </c>
      <c r="G235" s="20" t="s">
        <v>199</v>
      </c>
      <c r="H235" s="21">
        <v>300</v>
      </c>
      <c r="I235" s="21">
        <v>6660</v>
      </c>
    </row>
    <row r="236" spans="2:9" x14ac:dyDescent="0.45">
      <c r="B236" s="20" t="s">
        <v>202</v>
      </c>
      <c r="C236" s="20" t="s">
        <v>196</v>
      </c>
      <c r="D236" s="20" t="s">
        <v>175</v>
      </c>
      <c r="E236" s="20" t="s">
        <v>175</v>
      </c>
      <c r="F236" s="20" t="s">
        <v>175</v>
      </c>
      <c r="G236" s="20" t="s">
        <v>199</v>
      </c>
      <c r="H236" s="21">
        <v>200</v>
      </c>
      <c r="I236" s="21">
        <v>6860</v>
      </c>
    </row>
    <row r="237" spans="2:9" x14ac:dyDescent="0.45">
      <c r="B237" s="20" t="s">
        <v>202</v>
      </c>
      <c r="C237" s="20" t="s">
        <v>196</v>
      </c>
      <c r="D237" s="20" t="s">
        <v>175</v>
      </c>
      <c r="E237" s="20" t="s">
        <v>175</v>
      </c>
      <c r="F237" s="20" t="s">
        <v>175</v>
      </c>
      <c r="G237" s="20" t="s">
        <v>199</v>
      </c>
      <c r="H237" s="21">
        <v>200</v>
      </c>
      <c r="I237" s="21">
        <v>7060</v>
      </c>
    </row>
    <row r="238" spans="2:9" x14ac:dyDescent="0.45">
      <c r="B238" s="20" t="s">
        <v>202</v>
      </c>
      <c r="C238" s="20" t="s">
        <v>196</v>
      </c>
      <c r="D238" s="20" t="s">
        <v>175</v>
      </c>
      <c r="E238" s="20" t="s">
        <v>175</v>
      </c>
      <c r="F238" s="20" t="s">
        <v>175</v>
      </c>
      <c r="G238" s="20" t="s">
        <v>199</v>
      </c>
      <c r="H238" s="21">
        <v>240</v>
      </c>
      <c r="I238" s="21">
        <v>7300</v>
      </c>
    </row>
    <row r="239" spans="2:9" x14ac:dyDescent="0.45">
      <c r="B239" s="20" t="s">
        <v>202</v>
      </c>
      <c r="C239" s="20" t="s">
        <v>196</v>
      </c>
      <c r="D239" s="20" t="s">
        <v>175</v>
      </c>
      <c r="E239" s="20" t="s">
        <v>175</v>
      </c>
      <c r="F239" s="20" t="s">
        <v>175</v>
      </c>
      <c r="G239" s="20" t="s">
        <v>199</v>
      </c>
      <c r="H239" s="21">
        <v>120</v>
      </c>
      <c r="I239" s="21">
        <v>7420</v>
      </c>
    </row>
    <row r="240" spans="2:9" x14ac:dyDescent="0.45">
      <c r="B240" s="20" t="s">
        <v>202</v>
      </c>
      <c r="C240" s="20" t="s">
        <v>196</v>
      </c>
      <c r="D240" s="20" t="s">
        <v>175</v>
      </c>
      <c r="E240" s="20" t="s">
        <v>175</v>
      </c>
      <c r="F240" s="20" t="s">
        <v>175</v>
      </c>
      <c r="G240" s="20" t="s">
        <v>199</v>
      </c>
      <c r="H240" s="21">
        <v>100</v>
      </c>
      <c r="I240" s="21">
        <v>7520</v>
      </c>
    </row>
    <row r="241" spans="1:9" x14ac:dyDescent="0.45">
      <c r="B241" s="20" t="s">
        <v>202</v>
      </c>
      <c r="C241" s="20" t="s">
        <v>196</v>
      </c>
      <c r="D241" s="20" t="s">
        <v>175</v>
      </c>
      <c r="E241" s="20" t="s">
        <v>175</v>
      </c>
      <c r="F241" s="20" t="s">
        <v>175</v>
      </c>
      <c r="G241" s="20" t="s">
        <v>199</v>
      </c>
      <c r="H241" s="21">
        <v>160</v>
      </c>
      <c r="I241" s="21">
        <v>7680</v>
      </c>
    </row>
    <row r="242" spans="1:9" x14ac:dyDescent="0.45">
      <c r="B242" s="20" t="s">
        <v>202</v>
      </c>
      <c r="C242" s="20" t="s">
        <v>196</v>
      </c>
      <c r="D242" s="20" t="s">
        <v>175</v>
      </c>
      <c r="E242" s="20" t="s">
        <v>175</v>
      </c>
      <c r="F242" s="20" t="s">
        <v>175</v>
      </c>
      <c r="G242" s="20" t="s">
        <v>199</v>
      </c>
      <c r="H242" s="21">
        <v>100</v>
      </c>
      <c r="I242" s="21">
        <v>7780</v>
      </c>
    </row>
    <row r="243" spans="1:9" x14ac:dyDescent="0.45">
      <c r="B243" s="20" t="s">
        <v>202</v>
      </c>
      <c r="C243" s="20" t="s">
        <v>196</v>
      </c>
      <c r="D243" s="20" t="s">
        <v>175</v>
      </c>
      <c r="E243" s="20" t="s">
        <v>175</v>
      </c>
      <c r="F243" s="20" t="s">
        <v>175</v>
      </c>
      <c r="G243" s="20" t="s">
        <v>199</v>
      </c>
      <c r="H243" s="21">
        <v>120</v>
      </c>
      <c r="I243" s="21">
        <v>7900</v>
      </c>
    </row>
    <row r="244" spans="1:9" x14ac:dyDescent="0.45">
      <c r="B244" s="20" t="s">
        <v>202</v>
      </c>
      <c r="C244" s="20" t="s">
        <v>196</v>
      </c>
      <c r="D244" s="20" t="s">
        <v>175</v>
      </c>
      <c r="E244" s="20" t="s">
        <v>175</v>
      </c>
      <c r="F244" s="20" t="s">
        <v>175</v>
      </c>
      <c r="G244" s="20" t="s">
        <v>199</v>
      </c>
      <c r="H244" s="21">
        <v>125</v>
      </c>
      <c r="I244" s="21">
        <v>8025</v>
      </c>
    </row>
    <row r="245" spans="1:9" x14ac:dyDescent="0.45">
      <c r="B245" s="20" t="s">
        <v>202</v>
      </c>
      <c r="C245" s="20" t="s">
        <v>196</v>
      </c>
      <c r="D245" s="20" t="s">
        <v>175</v>
      </c>
      <c r="E245" s="20" t="s">
        <v>175</v>
      </c>
      <c r="F245" s="20" t="s">
        <v>175</v>
      </c>
      <c r="G245" s="20" t="s">
        <v>199</v>
      </c>
      <c r="H245" s="21">
        <v>300</v>
      </c>
      <c r="I245" s="21">
        <v>8325</v>
      </c>
    </row>
    <row r="246" spans="1:9" x14ac:dyDescent="0.45">
      <c r="B246" s="20" t="s">
        <v>202</v>
      </c>
      <c r="C246" s="20" t="s">
        <v>196</v>
      </c>
      <c r="D246" s="20" t="s">
        <v>175</v>
      </c>
      <c r="E246" s="20" t="s">
        <v>175</v>
      </c>
      <c r="F246" s="20" t="s">
        <v>228</v>
      </c>
      <c r="G246" s="20" t="s">
        <v>199</v>
      </c>
      <c r="H246" s="21">
        <v>100</v>
      </c>
      <c r="I246" s="21">
        <v>8425</v>
      </c>
    </row>
    <row r="247" spans="1:9" x14ac:dyDescent="0.45">
      <c r="A247" s="15" t="s">
        <v>229</v>
      </c>
      <c r="H247" s="22">
        <f>H193+H194+H195+H196+H197+H198+H199+H200+H201+H202+H203+H204+H205+H206+H207+H208+H209+H210+H211+H212+H213+H214+H215+H216+H217+H218+H219+H220+H221+H222+H223+H224+H225+H226+H227+H228+H229+H230+H231+H232+H233+H234+H235+H236+H237+H238+H239+H240+H241+H242+H243+H244+H245+H246</f>
        <v>8425</v>
      </c>
    </row>
    <row r="248" spans="1:9" x14ac:dyDescent="0.45">
      <c r="A248" s="10" t="s">
        <v>230</v>
      </c>
      <c r="H248" s="22">
        <f>H47+H76+H123+H172+H177+H185+H191+H247</f>
        <v>1092209.78</v>
      </c>
    </row>
    <row r="249" spans="1:9" x14ac:dyDescent="0.45">
      <c r="B249" s="20" t="s">
        <v>231</v>
      </c>
      <c r="H249" s="20"/>
    </row>
    <row r="250" spans="1:9" x14ac:dyDescent="0.45">
      <c r="A250" s="10" t="s">
        <v>42</v>
      </c>
      <c r="H250" s="22">
        <f>H248-H249</f>
        <v>1092209.78</v>
      </c>
    </row>
    <row r="251" spans="1:9" x14ac:dyDescent="0.45">
      <c r="A251" s="7" t="s">
        <v>43</v>
      </c>
    </row>
    <row r="252" spans="1:9" x14ac:dyDescent="0.45">
      <c r="A252" s="7" t="s">
        <v>44</v>
      </c>
    </row>
    <row r="253" spans="1:9" x14ac:dyDescent="0.45">
      <c r="A253" s="7" t="s">
        <v>45</v>
      </c>
    </row>
    <row r="254" spans="1:9" x14ac:dyDescent="0.45">
      <c r="A254" s="7" t="s">
        <v>46</v>
      </c>
    </row>
    <row r="255" spans="1:9" x14ac:dyDescent="0.45">
      <c r="B255" s="20" t="s">
        <v>555</v>
      </c>
      <c r="C255" s="20" t="s">
        <v>233</v>
      </c>
      <c r="D255" s="20" t="s">
        <v>284</v>
      </c>
      <c r="E255" s="20" t="s">
        <v>235</v>
      </c>
      <c r="F255" s="20" t="s">
        <v>560</v>
      </c>
      <c r="G255" s="20" t="s">
        <v>218</v>
      </c>
      <c r="H255" s="21">
        <v>768.75</v>
      </c>
      <c r="I255" s="21">
        <v>768.75</v>
      </c>
    </row>
    <row r="256" spans="1:9" x14ac:dyDescent="0.45">
      <c r="B256" s="20" t="s">
        <v>555</v>
      </c>
      <c r="C256" s="20" t="s">
        <v>233</v>
      </c>
      <c r="D256" s="20" t="s">
        <v>284</v>
      </c>
      <c r="E256" s="20" t="s">
        <v>235</v>
      </c>
      <c r="F256" s="20" t="s">
        <v>237</v>
      </c>
      <c r="G256" s="20" t="s">
        <v>218</v>
      </c>
      <c r="H256" s="21">
        <v>-11.15</v>
      </c>
      <c r="I256" s="21">
        <v>757.6</v>
      </c>
    </row>
    <row r="257" spans="2:9" x14ac:dyDescent="0.45">
      <c r="B257" s="20" t="s">
        <v>555</v>
      </c>
      <c r="C257" s="20" t="s">
        <v>233</v>
      </c>
      <c r="D257" s="20" t="s">
        <v>284</v>
      </c>
      <c r="E257" s="20" t="s">
        <v>235</v>
      </c>
      <c r="F257" s="20" t="s">
        <v>244</v>
      </c>
      <c r="G257" s="20" t="s">
        <v>218</v>
      </c>
      <c r="H257" s="21">
        <v>-47.66</v>
      </c>
      <c r="I257" s="21">
        <v>709.94</v>
      </c>
    </row>
    <row r="258" spans="2:9" x14ac:dyDescent="0.45">
      <c r="B258" s="20" t="s">
        <v>555</v>
      </c>
      <c r="C258" s="20" t="s">
        <v>233</v>
      </c>
      <c r="D258" s="20" t="s">
        <v>284</v>
      </c>
      <c r="E258" s="20" t="s">
        <v>239</v>
      </c>
      <c r="F258" s="20" t="s">
        <v>561</v>
      </c>
      <c r="G258" s="20" t="s">
        <v>218</v>
      </c>
      <c r="H258" s="21">
        <v>384.38</v>
      </c>
      <c r="I258" s="21">
        <v>1094.3200000000002</v>
      </c>
    </row>
    <row r="259" spans="2:9" x14ac:dyDescent="0.45">
      <c r="B259" s="20" t="s">
        <v>555</v>
      </c>
      <c r="C259" s="20" t="s">
        <v>233</v>
      </c>
      <c r="D259" s="20" t="s">
        <v>284</v>
      </c>
      <c r="E259" s="20" t="s">
        <v>239</v>
      </c>
      <c r="F259" s="20" t="s">
        <v>237</v>
      </c>
      <c r="G259" s="20" t="s">
        <v>218</v>
      </c>
      <c r="H259" s="21">
        <v>-5.57</v>
      </c>
      <c r="I259" s="21">
        <v>1088.7500000000002</v>
      </c>
    </row>
    <row r="260" spans="2:9" x14ac:dyDescent="0.45">
      <c r="B260" s="20" t="s">
        <v>555</v>
      </c>
      <c r="C260" s="20" t="s">
        <v>233</v>
      </c>
      <c r="D260" s="20" t="s">
        <v>284</v>
      </c>
      <c r="E260" s="20" t="s">
        <v>239</v>
      </c>
      <c r="F260" s="20" t="s">
        <v>244</v>
      </c>
      <c r="G260" s="20" t="s">
        <v>218</v>
      </c>
      <c r="H260" s="21">
        <v>-23.83</v>
      </c>
      <c r="I260" s="21">
        <v>1064.9200000000003</v>
      </c>
    </row>
    <row r="261" spans="2:9" x14ac:dyDescent="0.45">
      <c r="B261" s="20" t="s">
        <v>555</v>
      </c>
      <c r="C261" s="20" t="s">
        <v>233</v>
      </c>
      <c r="D261" s="20" t="s">
        <v>284</v>
      </c>
      <c r="E261" s="20" t="s">
        <v>242</v>
      </c>
      <c r="F261" s="20" t="s">
        <v>560</v>
      </c>
      <c r="G261" s="20" t="s">
        <v>218</v>
      </c>
      <c r="H261" s="21">
        <v>384.38</v>
      </c>
      <c r="I261" s="21">
        <v>1449.3000000000002</v>
      </c>
    </row>
    <row r="262" spans="2:9" x14ac:dyDescent="0.45">
      <c r="B262" s="20" t="s">
        <v>555</v>
      </c>
      <c r="C262" s="20" t="s">
        <v>233</v>
      </c>
      <c r="D262" s="20" t="s">
        <v>284</v>
      </c>
      <c r="E262" s="20" t="s">
        <v>242</v>
      </c>
      <c r="F262" s="20" t="s">
        <v>237</v>
      </c>
      <c r="G262" s="20" t="s">
        <v>218</v>
      </c>
      <c r="H262" s="21">
        <v>-5.57</v>
      </c>
      <c r="I262" s="21">
        <v>1443.7300000000002</v>
      </c>
    </row>
    <row r="263" spans="2:9" x14ac:dyDescent="0.45">
      <c r="B263" s="20" t="s">
        <v>555</v>
      </c>
      <c r="C263" s="20" t="s">
        <v>233</v>
      </c>
      <c r="D263" s="20" t="s">
        <v>284</v>
      </c>
      <c r="E263" s="20" t="s">
        <v>242</v>
      </c>
      <c r="F263" s="20" t="s">
        <v>244</v>
      </c>
      <c r="G263" s="20" t="s">
        <v>218</v>
      </c>
      <c r="H263" s="21">
        <v>-23.83</v>
      </c>
      <c r="I263" s="21">
        <v>1419.9000000000003</v>
      </c>
    </row>
    <row r="264" spans="2:9" x14ac:dyDescent="0.45">
      <c r="B264" s="20" t="s">
        <v>555</v>
      </c>
      <c r="C264" s="20" t="s">
        <v>233</v>
      </c>
      <c r="D264" s="20" t="s">
        <v>284</v>
      </c>
      <c r="E264" s="20" t="s">
        <v>241</v>
      </c>
      <c r="F264" s="20" t="s">
        <v>561</v>
      </c>
      <c r="G264" s="20" t="s">
        <v>218</v>
      </c>
      <c r="H264" s="21">
        <v>384.38</v>
      </c>
      <c r="I264" s="21">
        <v>1804.2800000000002</v>
      </c>
    </row>
    <row r="265" spans="2:9" x14ac:dyDescent="0.45">
      <c r="B265" s="20" t="s">
        <v>555</v>
      </c>
      <c r="C265" s="20" t="s">
        <v>233</v>
      </c>
      <c r="D265" s="20" t="s">
        <v>284</v>
      </c>
      <c r="E265" s="20" t="s">
        <v>241</v>
      </c>
      <c r="F265" s="20" t="s">
        <v>237</v>
      </c>
      <c r="G265" s="20" t="s">
        <v>218</v>
      </c>
      <c r="H265" s="21">
        <v>-5.57</v>
      </c>
      <c r="I265" s="21">
        <v>1798.7100000000003</v>
      </c>
    </row>
    <row r="266" spans="2:9" x14ac:dyDescent="0.45">
      <c r="B266" s="20" t="s">
        <v>555</v>
      </c>
      <c r="C266" s="20" t="s">
        <v>233</v>
      </c>
      <c r="D266" s="20" t="s">
        <v>284</v>
      </c>
      <c r="E266" s="20" t="s">
        <v>241</v>
      </c>
      <c r="F266" s="20" t="s">
        <v>244</v>
      </c>
      <c r="G266" s="20" t="s">
        <v>218</v>
      </c>
      <c r="H266" s="21">
        <v>-23.83</v>
      </c>
      <c r="I266" s="21">
        <v>1774.8800000000003</v>
      </c>
    </row>
    <row r="267" spans="2:9" x14ac:dyDescent="0.45">
      <c r="B267" s="20" t="s">
        <v>435</v>
      </c>
      <c r="C267" s="20" t="s">
        <v>233</v>
      </c>
      <c r="D267" s="20" t="s">
        <v>562</v>
      </c>
      <c r="E267" s="20" t="s">
        <v>249</v>
      </c>
      <c r="F267" s="20" t="s">
        <v>561</v>
      </c>
      <c r="G267" s="20" t="s">
        <v>218</v>
      </c>
      <c r="H267" s="21">
        <v>384.38</v>
      </c>
      <c r="I267" s="21">
        <v>2159.2600000000002</v>
      </c>
    </row>
    <row r="268" spans="2:9" x14ac:dyDescent="0.45">
      <c r="B268" s="20" t="s">
        <v>435</v>
      </c>
      <c r="C268" s="20" t="s">
        <v>233</v>
      </c>
      <c r="D268" s="20" t="s">
        <v>562</v>
      </c>
      <c r="E268" s="20" t="s">
        <v>249</v>
      </c>
      <c r="F268" s="20" t="s">
        <v>237</v>
      </c>
      <c r="G268" s="20" t="s">
        <v>218</v>
      </c>
      <c r="H268" s="21">
        <v>-5.57</v>
      </c>
      <c r="I268" s="21">
        <v>2153.69</v>
      </c>
    </row>
    <row r="269" spans="2:9" x14ac:dyDescent="0.45">
      <c r="B269" s="20" t="s">
        <v>435</v>
      </c>
      <c r="C269" s="20" t="s">
        <v>233</v>
      </c>
      <c r="D269" s="20" t="s">
        <v>562</v>
      </c>
      <c r="E269" s="20" t="s">
        <v>249</v>
      </c>
      <c r="F269" s="20" t="s">
        <v>244</v>
      </c>
      <c r="G269" s="20" t="s">
        <v>218</v>
      </c>
      <c r="H269" s="21">
        <v>-23.83</v>
      </c>
      <c r="I269" s="21">
        <v>2129.86</v>
      </c>
    </row>
    <row r="270" spans="2:9" x14ac:dyDescent="0.45">
      <c r="B270" s="20" t="s">
        <v>435</v>
      </c>
      <c r="C270" s="20" t="s">
        <v>233</v>
      </c>
      <c r="D270" s="20" t="s">
        <v>234</v>
      </c>
      <c r="E270" s="20" t="s">
        <v>245</v>
      </c>
      <c r="F270" s="20" t="s">
        <v>563</v>
      </c>
      <c r="G270" s="20" t="s">
        <v>199</v>
      </c>
      <c r="H270" s="21">
        <v>352.86</v>
      </c>
      <c r="I270" s="21">
        <v>2482.7200000000003</v>
      </c>
    </row>
    <row r="271" spans="2:9" x14ac:dyDescent="0.45">
      <c r="B271" s="20" t="s">
        <v>564</v>
      </c>
      <c r="C271" s="20" t="s">
        <v>233</v>
      </c>
      <c r="D271" s="20" t="s">
        <v>234</v>
      </c>
      <c r="E271" s="20" t="s">
        <v>245</v>
      </c>
      <c r="F271" s="20" t="s">
        <v>563</v>
      </c>
      <c r="G271" s="20" t="s">
        <v>199</v>
      </c>
      <c r="H271" s="23">
        <v>0</v>
      </c>
      <c r="I271" s="21">
        <v>2482.7200000000003</v>
      </c>
    </row>
    <row r="272" spans="2:9" x14ac:dyDescent="0.45">
      <c r="B272" s="20" t="s">
        <v>565</v>
      </c>
      <c r="C272" s="20" t="s">
        <v>233</v>
      </c>
      <c r="D272" s="20" t="s">
        <v>234</v>
      </c>
      <c r="E272" s="20" t="s">
        <v>245</v>
      </c>
      <c r="F272" s="20" t="s">
        <v>246</v>
      </c>
      <c r="G272" s="20" t="s">
        <v>199</v>
      </c>
      <c r="H272" s="20"/>
      <c r="I272" s="21">
        <v>2482.7200000000003</v>
      </c>
    </row>
    <row r="273" spans="2:9" x14ac:dyDescent="0.45">
      <c r="B273" s="20" t="s">
        <v>566</v>
      </c>
      <c r="C273" s="20" t="s">
        <v>233</v>
      </c>
      <c r="D273" s="20" t="s">
        <v>284</v>
      </c>
      <c r="E273" s="20" t="s">
        <v>235</v>
      </c>
      <c r="F273" s="20" t="s">
        <v>567</v>
      </c>
      <c r="G273" s="20" t="s">
        <v>218</v>
      </c>
      <c r="H273" s="21">
        <v>768.75</v>
      </c>
      <c r="I273" s="21">
        <v>3251.4700000000003</v>
      </c>
    </row>
    <row r="274" spans="2:9" x14ac:dyDescent="0.45">
      <c r="B274" s="20" t="s">
        <v>566</v>
      </c>
      <c r="C274" s="20" t="s">
        <v>233</v>
      </c>
      <c r="D274" s="20" t="s">
        <v>284</v>
      </c>
      <c r="E274" s="20" t="s">
        <v>235</v>
      </c>
      <c r="F274" s="20" t="s">
        <v>237</v>
      </c>
      <c r="G274" s="20" t="s">
        <v>218</v>
      </c>
      <c r="H274" s="21">
        <v>-11.15</v>
      </c>
      <c r="I274" s="21">
        <v>3240.32</v>
      </c>
    </row>
    <row r="275" spans="2:9" x14ac:dyDescent="0.45">
      <c r="B275" s="20" t="s">
        <v>566</v>
      </c>
      <c r="C275" s="20" t="s">
        <v>233</v>
      </c>
      <c r="D275" s="20" t="s">
        <v>284</v>
      </c>
      <c r="E275" s="20" t="s">
        <v>235</v>
      </c>
      <c r="F275" s="20" t="s">
        <v>238</v>
      </c>
      <c r="G275" s="20" t="s">
        <v>218</v>
      </c>
      <c r="H275" s="21">
        <v>-47.66</v>
      </c>
      <c r="I275" s="21">
        <v>3192.6600000000003</v>
      </c>
    </row>
    <row r="276" spans="2:9" x14ac:dyDescent="0.45">
      <c r="B276" s="20" t="s">
        <v>566</v>
      </c>
      <c r="C276" s="20" t="s">
        <v>233</v>
      </c>
      <c r="D276" s="20" t="s">
        <v>284</v>
      </c>
      <c r="E276" s="20" t="s">
        <v>239</v>
      </c>
      <c r="F276" s="20" t="s">
        <v>567</v>
      </c>
      <c r="G276" s="20" t="s">
        <v>218</v>
      </c>
      <c r="H276" s="21">
        <v>384.38</v>
      </c>
      <c r="I276" s="21">
        <v>3577.0400000000004</v>
      </c>
    </row>
    <row r="277" spans="2:9" x14ac:dyDescent="0.45">
      <c r="B277" s="20" t="s">
        <v>566</v>
      </c>
      <c r="C277" s="20" t="s">
        <v>233</v>
      </c>
      <c r="D277" s="20" t="s">
        <v>284</v>
      </c>
      <c r="E277" s="20" t="s">
        <v>239</v>
      </c>
      <c r="F277" s="20" t="s">
        <v>237</v>
      </c>
      <c r="G277" s="20" t="s">
        <v>218</v>
      </c>
      <c r="H277" s="21">
        <v>-5.57</v>
      </c>
      <c r="I277" s="21">
        <v>3571.4700000000003</v>
      </c>
    </row>
    <row r="278" spans="2:9" x14ac:dyDescent="0.45">
      <c r="B278" s="20" t="s">
        <v>566</v>
      </c>
      <c r="C278" s="20" t="s">
        <v>233</v>
      </c>
      <c r="D278" s="20" t="s">
        <v>284</v>
      </c>
      <c r="E278" s="20" t="s">
        <v>239</v>
      </c>
      <c r="F278" s="20" t="s">
        <v>240</v>
      </c>
      <c r="G278" s="20" t="s">
        <v>218</v>
      </c>
      <c r="H278" s="21">
        <v>-23.83</v>
      </c>
      <c r="I278" s="21">
        <v>3547.6400000000003</v>
      </c>
    </row>
    <row r="279" spans="2:9" x14ac:dyDescent="0.45">
      <c r="B279" s="20" t="s">
        <v>566</v>
      </c>
      <c r="C279" s="20" t="s">
        <v>233</v>
      </c>
      <c r="D279" s="20" t="s">
        <v>284</v>
      </c>
      <c r="E279" s="20" t="s">
        <v>241</v>
      </c>
      <c r="F279" s="20" t="s">
        <v>567</v>
      </c>
      <c r="G279" s="20" t="s">
        <v>218</v>
      </c>
      <c r="H279" s="21">
        <v>384.38</v>
      </c>
      <c r="I279" s="21">
        <v>3932.0200000000004</v>
      </c>
    </row>
    <row r="280" spans="2:9" x14ac:dyDescent="0.45">
      <c r="B280" s="20" t="s">
        <v>566</v>
      </c>
      <c r="C280" s="20" t="s">
        <v>233</v>
      </c>
      <c r="D280" s="20" t="s">
        <v>284</v>
      </c>
      <c r="E280" s="20" t="s">
        <v>241</v>
      </c>
      <c r="F280" s="20" t="s">
        <v>237</v>
      </c>
      <c r="G280" s="20" t="s">
        <v>218</v>
      </c>
      <c r="H280" s="21">
        <v>-5.57</v>
      </c>
      <c r="I280" s="21">
        <v>3926.4500000000003</v>
      </c>
    </row>
    <row r="281" spans="2:9" x14ac:dyDescent="0.45">
      <c r="B281" s="20" t="s">
        <v>566</v>
      </c>
      <c r="C281" s="20" t="s">
        <v>233</v>
      </c>
      <c r="D281" s="20" t="s">
        <v>284</v>
      </c>
      <c r="E281" s="20" t="s">
        <v>241</v>
      </c>
      <c r="F281" s="20" t="s">
        <v>240</v>
      </c>
      <c r="G281" s="20" t="s">
        <v>218</v>
      </c>
      <c r="H281" s="21">
        <v>-23.83</v>
      </c>
      <c r="I281" s="21">
        <v>3902.6200000000003</v>
      </c>
    </row>
    <row r="282" spans="2:9" x14ac:dyDescent="0.45">
      <c r="B282" s="20" t="s">
        <v>566</v>
      </c>
      <c r="C282" s="20" t="s">
        <v>233</v>
      </c>
      <c r="D282" s="20" t="s">
        <v>284</v>
      </c>
      <c r="E282" s="20" t="s">
        <v>242</v>
      </c>
      <c r="F282" s="20" t="s">
        <v>568</v>
      </c>
      <c r="G282" s="20" t="s">
        <v>218</v>
      </c>
      <c r="H282" s="21">
        <v>384.38</v>
      </c>
      <c r="I282" s="21">
        <v>4287</v>
      </c>
    </row>
    <row r="283" spans="2:9" x14ac:dyDescent="0.45">
      <c r="B283" s="20" t="s">
        <v>566</v>
      </c>
      <c r="C283" s="20" t="s">
        <v>233</v>
      </c>
      <c r="D283" s="20" t="s">
        <v>284</v>
      </c>
      <c r="E283" s="20" t="s">
        <v>242</v>
      </c>
      <c r="F283" s="20" t="s">
        <v>237</v>
      </c>
      <c r="G283" s="20" t="s">
        <v>218</v>
      </c>
      <c r="H283" s="21">
        <v>-5.57</v>
      </c>
      <c r="I283" s="21">
        <v>4281.43</v>
      </c>
    </row>
    <row r="284" spans="2:9" x14ac:dyDescent="0.45">
      <c r="B284" s="20" t="s">
        <v>566</v>
      </c>
      <c r="C284" s="20" t="s">
        <v>233</v>
      </c>
      <c r="D284" s="20" t="s">
        <v>284</v>
      </c>
      <c r="E284" s="20" t="s">
        <v>242</v>
      </c>
      <c r="F284" s="20" t="s">
        <v>244</v>
      </c>
      <c r="G284" s="20" t="s">
        <v>218</v>
      </c>
      <c r="H284" s="21">
        <v>-23.83</v>
      </c>
      <c r="I284" s="21">
        <v>4257.6000000000004</v>
      </c>
    </row>
    <row r="285" spans="2:9" x14ac:dyDescent="0.45">
      <c r="B285" s="20" t="s">
        <v>540</v>
      </c>
      <c r="C285" s="20" t="s">
        <v>233</v>
      </c>
      <c r="D285" s="20" t="s">
        <v>569</v>
      </c>
      <c r="E285" s="20" t="s">
        <v>249</v>
      </c>
      <c r="F285" s="20" t="s">
        <v>568</v>
      </c>
      <c r="G285" s="20" t="s">
        <v>218</v>
      </c>
      <c r="H285" s="21">
        <v>384.38</v>
      </c>
      <c r="I285" s="21">
        <v>4641.9800000000005</v>
      </c>
    </row>
    <row r="286" spans="2:9" x14ac:dyDescent="0.45">
      <c r="B286" s="20" t="s">
        <v>540</v>
      </c>
      <c r="C286" s="20" t="s">
        <v>233</v>
      </c>
      <c r="D286" s="20" t="s">
        <v>569</v>
      </c>
      <c r="E286" s="20" t="s">
        <v>249</v>
      </c>
      <c r="F286" s="20" t="s">
        <v>237</v>
      </c>
      <c r="G286" s="20" t="s">
        <v>218</v>
      </c>
      <c r="H286" s="21">
        <v>-5.57</v>
      </c>
      <c r="I286" s="21">
        <v>4636.4100000000008</v>
      </c>
    </row>
    <row r="287" spans="2:9" x14ac:dyDescent="0.45">
      <c r="B287" s="20" t="s">
        <v>540</v>
      </c>
      <c r="C287" s="20" t="s">
        <v>233</v>
      </c>
      <c r="D287" s="20" t="s">
        <v>569</v>
      </c>
      <c r="E287" s="20" t="s">
        <v>249</v>
      </c>
      <c r="F287" s="20" t="s">
        <v>240</v>
      </c>
      <c r="G287" s="20" t="s">
        <v>218</v>
      </c>
      <c r="H287" s="21">
        <v>-23.83</v>
      </c>
      <c r="I287" s="21">
        <v>4612.5800000000008</v>
      </c>
    </row>
    <row r="288" spans="2:9" x14ac:dyDescent="0.45">
      <c r="B288" s="20" t="s">
        <v>570</v>
      </c>
      <c r="C288" s="20" t="s">
        <v>233</v>
      </c>
      <c r="D288" s="20" t="s">
        <v>234</v>
      </c>
      <c r="E288" s="20" t="s">
        <v>245</v>
      </c>
      <c r="F288" s="20" t="s">
        <v>563</v>
      </c>
      <c r="G288" s="20" t="s">
        <v>199</v>
      </c>
      <c r="H288" s="21">
        <v>352.86</v>
      </c>
      <c r="I288" s="21">
        <v>4965.4400000000005</v>
      </c>
    </row>
    <row r="289" spans="2:9" x14ac:dyDescent="0.45">
      <c r="B289" s="20" t="s">
        <v>571</v>
      </c>
      <c r="C289" s="20" t="s">
        <v>233</v>
      </c>
      <c r="D289" s="20" t="s">
        <v>234</v>
      </c>
      <c r="E289" s="20" t="s">
        <v>245</v>
      </c>
      <c r="F289" s="20" t="s">
        <v>246</v>
      </c>
      <c r="G289" s="20" t="s">
        <v>199</v>
      </c>
      <c r="H289" s="20"/>
      <c r="I289" s="21">
        <v>4965.4400000000005</v>
      </c>
    </row>
    <row r="290" spans="2:9" x14ac:dyDescent="0.45">
      <c r="B290" s="20" t="s">
        <v>232</v>
      </c>
      <c r="C290" s="20" t="s">
        <v>233</v>
      </c>
      <c r="D290" s="20" t="s">
        <v>234</v>
      </c>
      <c r="E290" s="20" t="s">
        <v>235</v>
      </c>
      <c r="F290" s="20" t="s">
        <v>236</v>
      </c>
      <c r="G290" s="20" t="s">
        <v>218</v>
      </c>
      <c r="H290" s="21">
        <v>768.75</v>
      </c>
      <c r="I290" s="21">
        <v>5734.1900000000005</v>
      </c>
    </row>
    <row r="291" spans="2:9" x14ac:dyDescent="0.45">
      <c r="B291" s="20" t="s">
        <v>232</v>
      </c>
      <c r="C291" s="20" t="s">
        <v>233</v>
      </c>
      <c r="D291" s="20" t="s">
        <v>234</v>
      </c>
      <c r="E291" s="20" t="s">
        <v>235</v>
      </c>
      <c r="F291" s="20" t="s">
        <v>237</v>
      </c>
      <c r="G291" s="20" t="s">
        <v>218</v>
      </c>
      <c r="H291" s="21">
        <v>-11.15</v>
      </c>
      <c r="I291" s="21">
        <v>5723.0400000000009</v>
      </c>
    </row>
    <row r="292" spans="2:9" x14ac:dyDescent="0.45">
      <c r="B292" s="20" t="s">
        <v>232</v>
      </c>
      <c r="C292" s="20" t="s">
        <v>233</v>
      </c>
      <c r="D292" s="20" t="s">
        <v>234</v>
      </c>
      <c r="E292" s="20" t="s">
        <v>235</v>
      </c>
      <c r="F292" s="20" t="s">
        <v>238</v>
      </c>
      <c r="G292" s="20" t="s">
        <v>218</v>
      </c>
      <c r="H292" s="21">
        <v>-47.66</v>
      </c>
      <c r="I292" s="21">
        <v>5675.380000000001</v>
      </c>
    </row>
    <row r="293" spans="2:9" x14ac:dyDescent="0.45">
      <c r="B293" s="20" t="s">
        <v>232</v>
      </c>
      <c r="C293" s="20" t="s">
        <v>233</v>
      </c>
      <c r="D293" s="20" t="s">
        <v>234</v>
      </c>
      <c r="E293" s="20" t="s">
        <v>239</v>
      </c>
      <c r="F293" s="20" t="s">
        <v>236</v>
      </c>
      <c r="G293" s="20" t="s">
        <v>218</v>
      </c>
      <c r="H293" s="21">
        <v>384.38</v>
      </c>
      <c r="I293" s="21">
        <v>6059.7600000000011</v>
      </c>
    </row>
    <row r="294" spans="2:9" x14ac:dyDescent="0.45">
      <c r="B294" s="20" t="s">
        <v>232</v>
      </c>
      <c r="C294" s="20" t="s">
        <v>233</v>
      </c>
      <c r="D294" s="20" t="s">
        <v>234</v>
      </c>
      <c r="E294" s="20" t="s">
        <v>239</v>
      </c>
      <c r="F294" s="20" t="s">
        <v>237</v>
      </c>
      <c r="G294" s="20" t="s">
        <v>218</v>
      </c>
      <c r="H294" s="21">
        <v>-5.57</v>
      </c>
      <c r="I294" s="21">
        <v>6054.1900000000014</v>
      </c>
    </row>
    <row r="295" spans="2:9" x14ac:dyDescent="0.45">
      <c r="B295" s="20" t="s">
        <v>232</v>
      </c>
      <c r="C295" s="20" t="s">
        <v>233</v>
      </c>
      <c r="D295" s="20" t="s">
        <v>234</v>
      </c>
      <c r="E295" s="20" t="s">
        <v>239</v>
      </c>
      <c r="F295" s="20" t="s">
        <v>240</v>
      </c>
      <c r="G295" s="20" t="s">
        <v>218</v>
      </c>
      <c r="H295" s="21">
        <v>-23.83</v>
      </c>
      <c r="I295" s="21">
        <v>6030.3600000000015</v>
      </c>
    </row>
    <row r="296" spans="2:9" x14ac:dyDescent="0.45">
      <c r="B296" s="20" t="s">
        <v>232</v>
      </c>
      <c r="C296" s="20" t="s">
        <v>233</v>
      </c>
      <c r="D296" s="20" t="s">
        <v>234</v>
      </c>
      <c r="E296" s="20" t="s">
        <v>241</v>
      </c>
      <c r="F296" s="20" t="s">
        <v>236</v>
      </c>
      <c r="G296" s="20" t="s">
        <v>218</v>
      </c>
      <c r="H296" s="21">
        <v>384.38</v>
      </c>
      <c r="I296" s="21">
        <v>6414.7400000000016</v>
      </c>
    </row>
    <row r="297" spans="2:9" x14ac:dyDescent="0.45">
      <c r="B297" s="20" t="s">
        <v>232</v>
      </c>
      <c r="C297" s="20" t="s">
        <v>233</v>
      </c>
      <c r="D297" s="20" t="s">
        <v>234</v>
      </c>
      <c r="E297" s="20" t="s">
        <v>241</v>
      </c>
      <c r="F297" s="20" t="s">
        <v>237</v>
      </c>
      <c r="G297" s="20" t="s">
        <v>218</v>
      </c>
      <c r="H297" s="21">
        <v>-5.57</v>
      </c>
      <c r="I297" s="21">
        <v>6409.1700000000019</v>
      </c>
    </row>
    <row r="298" spans="2:9" x14ac:dyDescent="0.45">
      <c r="B298" s="20" t="s">
        <v>232</v>
      </c>
      <c r="C298" s="20" t="s">
        <v>233</v>
      </c>
      <c r="D298" s="20" t="s">
        <v>234</v>
      </c>
      <c r="E298" s="20" t="s">
        <v>241</v>
      </c>
      <c r="F298" s="20" t="s">
        <v>240</v>
      </c>
      <c r="G298" s="20" t="s">
        <v>218</v>
      </c>
      <c r="H298" s="21">
        <v>-23.83</v>
      </c>
      <c r="I298" s="21">
        <v>6385.340000000002</v>
      </c>
    </row>
    <row r="299" spans="2:9" x14ac:dyDescent="0.45">
      <c r="B299" s="20" t="s">
        <v>232</v>
      </c>
      <c r="C299" s="20" t="s">
        <v>233</v>
      </c>
      <c r="D299" s="20" t="s">
        <v>234</v>
      </c>
      <c r="E299" s="20" t="s">
        <v>242</v>
      </c>
      <c r="F299" s="20" t="s">
        <v>243</v>
      </c>
      <c r="G299" s="20" t="s">
        <v>218</v>
      </c>
      <c r="H299" s="21">
        <v>384.38</v>
      </c>
      <c r="I299" s="21">
        <v>6769.7200000000021</v>
      </c>
    </row>
    <row r="300" spans="2:9" x14ac:dyDescent="0.45">
      <c r="B300" s="20" t="s">
        <v>232</v>
      </c>
      <c r="C300" s="20" t="s">
        <v>233</v>
      </c>
      <c r="D300" s="20" t="s">
        <v>234</v>
      </c>
      <c r="E300" s="20" t="s">
        <v>242</v>
      </c>
      <c r="F300" s="20" t="s">
        <v>237</v>
      </c>
      <c r="G300" s="20" t="s">
        <v>218</v>
      </c>
      <c r="H300" s="21">
        <v>-5.57</v>
      </c>
      <c r="I300" s="21">
        <v>6764.1500000000024</v>
      </c>
    </row>
    <row r="301" spans="2:9" x14ac:dyDescent="0.45">
      <c r="B301" s="20" t="s">
        <v>232</v>
      </c>
      <c r="C301" s="20" t="s">
        <v>233</v>
      </c>
      <c r="D301" s="20" t="s">
        <v>234</v>
      </c>
      <c r="E301" s="20" t="s">
        <v>242</v>
      </c>
      <c r="F301" s="20" t="s">
        <v>244</v>
      </c>
      <c r="G301" s="20" t="s">
        <v>218</v>
      </c>
      <c r="H301" s="21">
        <v>-23.83</v>
      </c>
      <c r="I301" s="21">
        <v>6740.3200000000024</v>
      </c>
    </row>
    <row r="302" spans="2:9" x14ac:dyDescent="0.45">
      <c r="B302" s="20" t="s">
        <v>232</v>
      </c>
      <c r="C302" s="20" t="s">
        <v>233</v>
      </c>
      <c r="D302" s="20" t="s">
        <v>234</v>
      </c>
      <c r="E302" s="20" t="s">
        <v>245</v>
      </c>
      <c r="F302" s="20" t="s">
        <v>246</v>
      </c>
      <c r="G302" s="20" t="s">
        <v>199</v>
      </c>
      <c r="H302" s="20"/>
      <c r="I302" s="21">
        <v>6740.3200000000024</v>
      </c>
    </row>
    <row r="303" spans="2:9" x14ac:dyDescent="0.45">
      <c r="B303" s="20" t="s">
        <v>247</v>
      </c>
      <c r="C303" s="20" t="s">
        <v>233</v>
      </c>
      <c r="D303" s="20" t="s">
        <v>248</v>
      </c>
      <c r="E303" s="20" t="s">
        <v>249</v>
      </c>
      <c r="F303" s="20" t="s">
        <v>243</v>
      </c>
      <c r="G303" s="20" t="s">
        <v>218</v>
      </c>
      <c r="H303" s="21">
        <v>384.38</v>
      </c>
      <c r="I303" s="21">
        <v>7124.7000000000025</v>
      </c>
    </row>
    <row r="304" spans="2:9" x14ac:dyDescent="0.45">
      <c r="B304" s="20" t="s">
        <v>247</v>
      </c>
      <c r="C304" s="20" t="s">
        <v>233</v>
      </c>
      <c r="D304" s="20" t="s">
        <v>248</v>
      </c>
      <c r="E304" s="20" t="s">
        <v>249</v>
      </c>
      <c r="F304" s="20" t="s">
        <v>237</v>
      </c>
      <c r="G304" s="20" t="s">
        <v>218</v>
      </c>
      <c r="H304" s="21">
        <v>-5.57</v>
      </c>
      <c r="I304" s="21">
        <v>7119.1300000000028</v>
      </c>
    </row>
    <row r="305" spans="1:9" x14ac:dyDescent="0.45">
      <c r="B305" s="20" t="s">
        <v>247</v>
      </c>
      <c r="C305" s="20" t="s">
        <v>233</v>
      </c>
      <c r="D305" s="20" t="s">
        <v>248</v>
      </c>
      <c r="E305" s="20" t="s">
        <v>249</v>
      </c>
      <c r="F305" s="20" t="s">
        <v>240</v>
      </c>
      <c r="G305" s="20" t="s">
        <v>218</v>
      </c>
      <c r="H305" s="21">
        <v>-23.83</v>
      </c>
      <c r="I305" s="21">
        <v>7095.3000000000029</v>
      </c>
    </row>
    <row r="306" spans="1:9" x14ac:dyDescent="0.45">
      <c r="B306" s="20" t="s">
        <v>213</v>
      </c>
      <c r="C306" s="20" t="s">
        <v>233</v>
      </c>
      <c r="D306" s="20" t="s">
        <v>234</v>
      </c>
      <c r="E306" s="20" t="s">
        <v>245</v>
      </c>
      <c r="F306" s="20" t="s">
        <v>246</v>
      </c>
      <c r="G306" s="20" t="s">
        <v>199</v>
      </c>
      <c r="H306" s="21">
        <v>352.86</v>
      </c>
      <c r="I306" s="21">
        <v>7448.1600000000026</v>
      </c>
    </row>
    <row r="307" spans="1:9" x14ac:dyDescent="0.45">
      <c r="A307" s="17" t="s">
        <v>250</v>
      </c>
      <c r="H307" s="22">
        <f>H255+H256+H257+H258+H259+H260+H261+H262+H263+H264+H265+H266+H267+H268+H269+H270+H271+H272+H273+H274+H275+H276+H277+H278+H279+H280+H281+H282+H283+H284+H285+H286+H287+H288+H289+H290+H291+H292+H293+H294+H295+H296+H297+H298+H299+H300+H301+H302+H303+H304+H305+H306</f>
        <v>7448.1600000000026</v>
      </c>
    </row>
    <row r="308" spans="1:9" x14ac:dyDescent="0.45">
      <c r="A308" s="7" t="s">
        <v>47</v>
      </c>
    </row>
    <row r="309" spans="1:9" x14ac:dyDescent="0.45">
      <c r="A309" s="7" t="s">
        <v>48</v>
      </c>
    </row>
    <row r="310" spans="1:9" x14ac:dyDescent="0.45">
      <c r="B310" s="20" t="s">
        <v>555</v>
      </c>
      <c r="C310" s="20" t="s">
        <v>233</v>
      </c>
      <c r="D310" s="20" t="s">
        <v>284</v>
      </c>
      <c r="E310" s="20" t="s">
        <v>251</v>
      </c>
      <c r="F310" s="20" t="s">
        <v>572</v>
      </c>
      <c r="G310" s="20" t="s">
        <v>218</v>
      </c>
      <c r="H310" s="21">
        <v>284</v>
      </c>
      <c r="I310" s="21">
        <v>284</v>
      </c>
    </row>
    <row r="311" spans="1:9" x14ac:dyDescent="0.45">
      <c r="B311" s="20" t="s">
        <v>555</v>
      </c>
      <c r="C311" s="20" t="s">
        <v>233</v>
      </c>
      <c r="D311" s="20" t="s">
        <v>284</v>
      </c>
      <c r="E311" s="20" t="s">
        <v>251</v>
      </c>
      <c r="F311" s="20" t="s">
        <v>253</v>
      </c>
      <c r="G311" s="20" t="s">
        <v>218</v>
      </c>
      <c r="H311" s="21">
        <v>-100</v>
      </c>
      <c r="I311" s="21">
        <v>184</v>
      </c>
    </row>
    <row r="312" spans="1:9" x14ac:dyDescent="0.45">
      <c r="B312" s="20" t="s">
        <v>555</v>
      </c>
      <c r="C312" s="20" t="s">
        <v>233</v>
      </c>
      <c r="D312" s="20" t="s">
        <v>284</v>
      </c>
      <c r="E312" s="20" t="s">
        <v>251</v>
      </c>
      <c r="F312" s="20" t="s">
        <v>237</v>
      </c>
      <c r="G312" s="20" t="s">
        <v>218</v>
      </c>
      <c r="H312" s="21">
        <v>-4.12</v>
      </c>
      <c r="I312" s="21">
        <v>179.88</v>
      </c>
    </row>
    <row r="313" spans="1:9" x14ac:dyDescent="0.45">
      <c r="B313" s="20" t="s">
        <v>555</v>
      </c>
      <c r="C313" s="20" t="s">
        <v>233</v>
      </c>
      <c r="D313" s="20" t="s">
        <v>284</v>
      </c>
      <c r="E313" s="20" t="s">
        <v>251</v>
      </c>
      <c r="F313" s="20" t="s">
        <v>244</v>
      </c>
      <c r="G313" s="20" t="s">
        <v>218</v>
      </c>
      <c r="H313" s="21">
        <v>-17.61</v>
      </c>
      <c r="I313" s="21">
        <v>162.26999999999998</v>
      </c>
    </row>
    <row r="314" spans="1:9" x14ac:dyDescent="0.45">
      <c r="B314" s="20" t="s">
        <v>435</v>
      </c>
      <c r="C314" s="20" t="s">
        <v>233</v>
      </c>
      <c r="D314" s="20" t="s">
        <v>234</v>
      </c>
      <c r="E314" s="20" t="s">
        <v>245</v>
      </c>
      <c r="F314" s="20" t="s">
        <v>253</v>
      </c>
      <c r="G314" s="20" t="s">
        <v>199</v>
      </c>
      <c r="H314" s="21">
        <v>143.44999999999999</v>
      </c>
      <c r="I314" s="21">
        <v>305.71999999999997</v>
      </c>
    </row>
    <row r="315" spans="1:9" x14ac:dyDescent="0.45">
      <c r="B315" s="20" t="s">
        <v>465</v>
      </c>
      <c r="C315" s="20" t="s">
        <v>233</v>
      </c>
      <c r="D315" s="20" t="s">
        <v>573</v>
      </c>
      <c r="E315" s="20" t="s">
        <v>251</v>
      </c>
      <c r="F315" s="20" t="s">
        <v>252</v>
      </c>
      <c r="G315" s="20" t="s">
        <v>218</v>
      </c>
      <c r="H315" s="21">
        <v>416.12</v>
      </c>
      <c r="I315" s="21">
        <v>721.83999999999992</v>
      </c>
    </row>
    <row r="316" spans="1:9" x14ac:dyDescent="0.45">
      <c r="B316" s="20" t="s">
        <v>465</v>
      </c>
      <c r="C316" s="20" t="s">
        <v>233</v>
      </c>
      <c r="D316" s="20" t="s">
        <v>573</v>
      </c>
      <c r="E316" s="20" t="s">
        <v>251</v>
      </c>
      <c r="F316" s="20" t="s">
        <v>237</v>
      </c>
      <c r="G316" s="20" t="s">
        <v>218</v>
      </c>
      <c r="H316" s="21">
        <v>-6.03</v>
      </c>
      <c r="I316" s="21">
        <v>715.81</v>
      </c>
    </row>
    <row r="317" spans="1:9" x14ac:dyDescent="0.45">
      <c r="B317" s="20" t="s">
        <v>465</v>
      </c>
      <c r="C317" s="20" t="s">
        <v>233</v>
      </c>
      <c r="D317" s="20" t="s">
        <v>573</v>
      </c>
      <c r="E317" s="20" t="s">
        <v>251</v>
      </c>
      <c r="F317" s="20" t="s">
        <v>244</v>
      </c>
      <c r="G317" s="20" t="s">
        <v>218</v>
      </c>
      <c r="H317" s="21">
        <v>-25.8</v>
      </c>
      <c r="I317" s="21">
        <v>690.01</v>
      </c>
    </row>
    <row r="318" spans="1:9" x14ac:dyDescent="0.45">
      <c r="B318" s="20" t="s">
        <v>465</v>
      </c>
      <c r="C318" s="20" t="s">
        <v>233</v>
      </c>
      <c r="D318" s="20" t="s">
        <v>573</v>
      </c>
      <c r="E318" s="20" t="s">
        <v>251</v>
      </c>
      <c r="F318" s="20" t="s">
        <v>253</v>
      </c>
      <c r="G318" s="20" t="s">
        <v>218</v>
      </c>
      <c r="H318" s="21">
        <v>-100</v>
      </c>
      <c r="I318" s="21">
        <v>590.01</v>
      </c>
    </row>
    <row r="319" spans="1:9" x14ac:dyDescent="0.45">
      <c r="B319" s="20" t="s">
        <v>564</v>
      </c>
      <c r="C319" s="20" t="s">
        <v>233</v>
      </c>
      <c r="D319" s="20" t="s">
        <v>234</v>
      </c>
      <c r="E319" s="20" t="s">
        <v>245</v>
      </c>
      <c r="F319" s="20" t="s">
        <v>253</v>
      </c>
      <c r="G319" s="20" t="s">
        <v>199</v>
      </c>
      <c r="H319" s="23">
        <v>0</v>
      </c>
      <c r="I319" s="21">
        <v>590.01</v>
      </c>
    </row>
    <row r="320" spans="1:9" x14ac:dyDescent="0.45">
      <c r="B320" s="20" t="s">
        <v>574</v>
      </c>
      <c r="C320" s="20" t="s">
        <v>233</v>
      </c>
      <c r="D320" s="20" t="s">
        <v>295</v>
      </c>
      <c r="E320" s="20" t="s">
        <v>251</v>
      </c>
      <c r="F320" s="20" t="s">
        <v>575</v>
      </c>
      <c r="G320" s="20" t="s">
        <v>218</v>
      </c>
      <c r="H320" s="21">
        <v>366.68</v>
      </c>
      <c r="I320" s="21">
        <v>956.69</v>
      </c>
    </row>
    <row r="321" spans="2:9" x14ac:dyDescent="0.45">
      <c r="B321" s="20" t="s">
        <v>574</v>
      </c>
      <c r="C321" s="20" t="s">
        <v>233</v>
      </c>
      <c r="D321" s="20" t="s">
        <v>295</v>
      </c>
      <c r="E321" s="20" t="s">
        <v>251</v>
      </c>
      <c r="F321" s="20" t="s">
        <v>237</v>
      </c>
      <c r="G321" s="20" t="s">
        <v>218</v>
      </c>
      <c r="H321" s="21">
        <v>-5.32</v>
      </c>
      <c r="I321" s="21">
        <v>951.37</v>
      </c>
    </row>
    <row r="322" spans="2:9" x14ac:dyDescent="0.45">
      <c r="B322" s="20" t="s">
        <v>574</v>
      </c>
      <c r="C322" s="20" t="s">
        <v>233</v>
      </c>
      <c r="D322" s="20" t="s">
        <v>295</v>
      </c>
      <c r="E322" s="20" t="s">
        <v>251</v>
      </c>
      <c r="F322" s="20" t="s">
        <v>244</v>
      </c>
      <c r="G322" s="20" t="s">
        <v>218</v>
      </c>
      <c r="H322" s="21">
        <v>-22.73</v>
      </c>
      <c r="I322" s="21">
        <v>928.64</v>
      </c>
    </row>
    <row r="323" spans="2:9" x14ac:dyDescent="0.45">
      <c r="B323" s="20" t="s">
        <v>574</v>
      </c>
      <c r="C323" s="20" t="s">
        <v>233</v>
      </c>
      <c r="D323" s="20" t="s">
        <v>295</v>
      </c>
      <c r="E323" s="20" t="s">
        <v>251</v>
      </c>
      <c r="F323" s="20" t="s">
        <v>253</v>
      </c>
      <c r="G323" s="20" t="s">
        <v>218</v>
      </c>
      <c r="H323" s="21">
        <v>-100</v>
      </c>
      <c r="I323" s="21">
        <v>828.64</v>
      </c>
    </row>
    <row r="324" spans="2:9" x14ac:dyDescent="0.45">
      <c r="B324" s="20" t="s">
        <v>566</v>
      </c>
      <c r="C324" s="20" t="s">
        <v>233</v>
      </c>
      <c r="D324" s="20" t="s">
        <v>284</v>
      </c>
      <c r="E324" s="20" t="s">
        <v>251</v>
      </c>
      <c r="F324" s="20" t="s">
        <v>576</v>
      </c>
      <c r="G324" s="20" t="s">
        <v>218</v>
      </c>
      <c r="H324" s="21">
        <v>527.36</v>
      </c>
      <c r="I324" s="21">
        <v>1356</v>
      </c>
    </row>
    <row r="325" spans="2:9" x14ac:dyDescent="0.45">
      <c r="B325" s="20" t="s">
        <v>566</v>
      </c>
      <c r="C325" s="20" t="s">
        <v>233</v>
      </c>
      <c r="D325" s="20" t="s">
        <v>284</v>
      </c>
      <c r="E325" s="20" t="s">
        <v>251</v>
      </c>
      <c r="F325" s="20" t="s">
        <v>237</v>
      </c>
      <c r="G325" s="20" t="s">
        <v>218</v>
      </c>
      <c r="H325" s="21">
        <v>-7.65</v>
      </c>
      <c r="I325" s="21">
        <v>1348.35</v>
      </c>
    </row>
    <row r="326" spans="2:9" x14ac:dyDescent="0.45">
      <c r="B326" s="20" t="s">
        <v>566</v>
      </c>
      <c r="C326" s="20" t="s">
        <v>233</v>
      </c>
      <c r="D326" s="20" t="s">
        <v>284</v>
      </c>
      <c r="E326" s="20" t="s">
        <v>251</v>
      </c>
      <c r="F326" s="20" t="s">
        <v>244</v>
      </c>
      <c r="G326" s="20" t="s">
        <v>218</v>
      </c>
      <c r="H326" s="21">
        <v>-32.700000000000003</v>
      </c>
      <c r="I326" s="21">
        <v>1315.6499999999999</v>
      </c>
    </row>
    <row r="327" spans="2:9" x14ac:dyDescent="0.45">
      <c r="B327" s="20" t="s">
        <v>566</v>
      </c>
      <c r="C327" s="20" t="s">
        <v>233</v>
      </c>
      <c r="D327" s="20" t="s">
        <v>284</v>
      </c>
      <c r="E327" s="20" t="s">
        <v>251</v>
      </c>
      <c r="F327" s="20" t="s">
        <v>253</v>
      </c>
      <c r="G327" s="20" t="s">
        <v>218</v>
      </c>
      <c r="H327" s="21">
        <v>-150</v>
      </c>
      <c r="I327" s="21">
        <v>1165.6499999999999</v>
      </c>
    </row>
    <row r="328" spans="2:9" x14ac:dyDescent="0.45">
      <c r="B328" s="20" t="s">
        <v>570</v>
      </c>
      <c r="C328" s="20" t="s">
        <v>233</v>
      </c>
      <c r="D328" s="20" t="s">
        <v>234</v>
      </c>
      <c r="E328" s="20" t="s">
        <v>245</v>
      </c>
      <c r="F328" s="20" t="s">
        <v>253</v>
      </c>
      <c r="G328" s="20" t="s">
        <v>199</v>
      </c>
      <c r="H328" s="23">
        <v>0</v>
      </c>
      <c r="I328" s="21">
        <v>1165.6499999999999</v>
      </c>
    </row>
    <row r="329" spans="2:9" x14ac:dyDescent="0.45">
      <c r="B329" s="20" t="s">
        <v>577</v>
      </c>
      <c r="C329" s="20" t="s">
        <v>233</v>
      </c>
      <c r="D329" s="20" t="s">
        <v>284</v>
      </c>
      <c r="E329" s="20" t="s">
        <v>251</v>
      </c>
      <c r="F329" s="20" t="s">
        <v>578</v>
      </c>
      <c r="G329" s="20" t="s">
        <v>218</v>
      </c>
      <c r="H329" s="21">
        <v>576.79999999999995</v>
      </c>
      <c r="I329" s="21">
        <v>1742.4499999999998</v>
      </c>
    </row>
    <row r="330" spans="2:9" x14ac:dyDescent="0.45">
      <c r="B330" s="20" t="s">
        <v>577</v>
      </c>
      <c r="C330" s="20" t="s">
        <v>233</v>
      </c>
      <c r="D330" s="20" t="s">
        <v>284</v>
      </c>
      <c r="E330" s="20" t="s">
        <v>251</v>
      </c>
      <c r="F330" s="20" t="s">
        <v>237</v>
      </c>
      <c r="G330" s="20" t="s">
        <v>218</v>
      </c>
      <c r="H330" s="21">
        <v>-8.36</v>
      </c>
      <c r="I330" s="21">
        <v>1734.09</v>
      </c>
    </row>
    <row r="331" spans="2:9" x14ac:dyDescent="0.45">
      <c r="B331" s="20" t="s">
        <v>577</v>
      </c>
      <c r="C331" s="20" t="s">
        <v>233</v>
      </c>
      <c r="D331" s="20" t="s">
        <v>284</v>
      </c>
      <c r="E331" s="20" t="s">
        <v>251</v>
      </c>
      <c r="F331" s="20" t="s">
        <v>244</v>
      </c>
      <c r="G331" s="20" t="s">
        <v>218</v>
      </c>
      <c r="H331" s="21">
        <v>-35.76</v>
      </c>
      <c r="I331" s="21">
        <v>1698.33</v>
      </c>
    </row>
    <row r="332" spans="2:9" x14ac:dyDescent="0.45">
      <c r="B332" s="20" t="s">
        <v>577</v>
      </c>
      <c r="C332" s="20" t="s">
        <v>233</v>
      </c>
      <c r="D332" s="20" t="s">
        <v>284</v>
      </c>
      <c r="E332" s="20" t="s">
        <v>251</v>
      </c>
      <c r="F332" s="20" t="s">
        <v>253</v>
      </c>
      <c r="G332" s="20" t="s">
        <v>218</v>
      </c>
      <c r="H332" s="21">
        <v>-200</v>
      </c>
      <c r="I332" s="21">
        <v>1498.33</v>
      </c>
    </row>
    <row r="333" spans="2:9" x14ac:dyDescent="0.45">
      <c r="B333" s="20" t="s">
        <v>579</v>
      </c>
      <c r="C333" s="20" t="s">
        <v>233</v>
      </c>
      <c r="D333" s="20" t="s">
        <v>234</v>
      </c>
      <c r="E333" s="20" t="s">
        <v>251</v>
      </c>
      <c r="F333" s="20" t="s">
        <v>580</v>
      </c>
      <c r="G333" s="20" t="s">
        <v>218</v>
      </c>
      <c r="H333" s="21">
        <v>321.36</v>
      </c>
      <c r="I333" s="21">
        <v>1819.69</v>
      </c>
    </row>
    <row r="334" spans="2:9" x14ac:dyDescent="0.45">
      <c r="B334" s="20" t="s">
        <v>579</v>
      </c>
      <c r="C334" s="20" t="s">
        <v>233</v>
      </c>
      <c r="D334" s="20" t="s">
        <v>234</v>
      </c>
      <c r="E334" s="20" t="s">
        <v>251</v>
      </c>
      <c r="F334" s="20" t="s">
        <v>237</v>
      </c>
      <c r="G334" s="20" t="s">
        <v>218</v>
      </c>
      <c r="H334" s="21">
        <v>-4.66</v>
      </c>
      <c r="I334" s="21">
        <v>1815.03</v>
      </c>
    </row>
    <row r="335" spans="2:9" x14ac:dyDescent="0.45">
      <c r="B335" s="20" t="s">
        <v>579</v>
      </c>
      <c r="C335" s="20" t="s">
        <v>233</v>
      </c>
      <c r="D335" s="20" t="s">
        <v>234</v>
      </c>
      <c r="E335" s="20" t="s">
        <v>251</v>
      </c>
      <c r="F335" s="20" t="s">
        <v>244</v>
      </c>
      <c r="G335" s="20" t="s">
        <v>218</v>
      </c>
      <c r="H335" s="21">
        <v>-19.920000000000002</v>
      </c>
      <c r="I335" s="21">
        <v>1795.11</v>
      </c>
    </row>
    <row r="336" spans="2:9" x14ac:dyDescent="0.45">
      <c r="B336" s="20" t="s">
        <v>579</v>
      </c>
      <c r="C336" s="20" t="s">
        <v>233</v>
      </c>
      <c r="D336" s="20" t="s">
        <v>234</v>
      </c>
      <c r="E336" s="20" t="s">
        <v>251</v>
      </c>
      <c r="F336" s="20" t="s">
        <v>253</v>
      </c>
      <c r="G336" s="20" t="s">
        <v>218</v>
      </c>
      <c r="H336" s="21">
        <v>-100</v>
      </c>
      <c r="I336" s="21">
        <v>1695.11</v>
      </c>
    </row>
    <row r="337" spans="1:9" x14ac:dyDescent="0.45">
      <c r="B337" s="20" t="s">
        <v>232</v>
      </c>
      <c r="C337" s="20" t="s">
        <v>233</v>
      </c>
      <c r="D337" s="20" t="s">
        <v>234</v>
      </c>
      <c r="E337" s="20" t="s">
        <v>251</v>
      </c>
      <c r="F337" s="20" t="s">
        <v>252</v>
      </c>
      <c r="G337" s="20" t="s">
        <v>218</v>
      </c>
      <c r="H337" s="21">
        <v>416.12</v>
      </c>
      <c r="I337" s="21">
        <v>2111.23</v>
      </c>
    </row>
    <row r="338" spans="1:9" x14ac:dyDescent="0.45">
      <c r="B338" s="20" t="s">
        <v>232</v>
      </c>
      <c r="C338" s="20" t="s">
        <v>233</v>
      </c>
      <c r="D338" s="20" t="s">
        <v>234</v>
      </c>
      <c r="E338" s="20" t="s">
        <v>251</v>
      </c>
      <c r="F338" s="20" t="s">
        <v>237</v>
      </c>
      <c r="G338" s="20" t="s">
        <v>218</v>
      </c>
      <c r="H338" s="21">
        <v>-6.03</v>
      </c>
      <c r="I338" s="21">
        <v>2105.1999999999998</v>
      </c>
    </row>
    <row r="339" spans="1:9" x14ac:dyDescent="0.45">
      <c r="B339" s="20" t="s">
        <v>232</v>
      </c>
      <c r="C339" s="20" t="s">
        <v>233</v>
      </c>
      <c r="D339" s="20" t="s">
        <v>234</v>
      </c>
      <c r="E339" s="20" t="s">
        <v>251</v>
      </c>
      <c r="F339" s="20" t="s">
        <v>244</v>
      </c>
      <c r="G339" s="20" t="s">
        <v>218</v>
      </c>
      <c r="H339" s="21">
        <v>-25.8</v>
      </c>
      <c r="I339" s="21">
        <v>2079.3999999999996</v>
      </c>
    </row>
    <row r="340" spans="1:9" x14ac:dyDescent="0.45">
      <c r="B340" s="20" t="s">
        <v>232</v>
      </c>
      <c r="C340" s="20" t="s">
        <v>233</v>
      </c>
      <c r="D340" s="20" t="s">
        <v>234</v>
      </c>
      <c r="E340" s="20" t="s">
        <v>251</v>
      </c>
      <c r="F340" s="20" t="s">
        <v>253</v>
      </c>
      <c r="G340" s="20" t="s">
        <v>218</v>
      </c>
      <c r="H340" s="21">
        <v>-100</v>
      </c>
      <c r="I340" s="21">
        <v>1979.3999999999996</v>
      </c>
    </row>
    <row r="341" spans="1:9" x14ac:dyDescent="0.45">
      <c r="A341" s="27" t="s">
        <v>254</v>
      </c>
      <c r="H341" s="22">
        <f>H310+H311+H312+H313+H314+H315+H316+H317+H318+H319+H320+H321+H322+H323+H324+H325+H326+H327+H328+H329+H330+H331+H332+H333+H334+H335+H336+H337+H338+H339+H340</f>
        <v>1979.3999999999996</v>
      </c>
    </row>
    <row r="342" spans="1:9" x14ac:dyDescent="0.45">
      <c r="A342" s="17" t="s">
        <v>255</v>
      </c>
      <c r="H342" s="22">
        <f>H341</f>
        <v>1979.3999999999996</v>
      </c>
    </row>
    <row r="343" spans="1:9" x14ac:dyDescent="0.45">
      <c r="A343" s="14" t="s">
        <v>256</v>
      </c>
      <c r="H343" s="22">
        <f>H307+H342</f>
        <v>9427.5600000000013</v>
      </c>
    </row>
    <row r="344" spans="1:9" x14ac:dyDescent="0.45">
      <c r="A344" s="7" t="s">
        <v>51</v>
      </c>
    </row>
    <row r="345" spans="1:9" x14ac:dyDescent="0.45">
      <c r="B345" s="20" t="s">
        <v>439</v>
      </c>
      <c r="C345" s="20" t="s">
        <v>233</v>
      </c>
      <c r="D345" s="20" t="s">
        <v>581</v>
      </c>
      <c r="E345" s="20" t="s">
        <v>582</v>
      </c>
      <c r="F345" s="20" t="s">
        <v>583</v>
      </c>
      <c r="G345" s="20" t="s">
        <v>218</v>
      </c>
      <c r="H345" s="21">
        <v>319.5</v>
      </c>
      <c r="I345" s="21">
        <v>319.5</v>
      </c>
    </row>
    <row r="346" spans="1:9" x14ac:dyDescent="0.45">
      <c r="B346" s="20" t="s">
        <v>439</v>
      </c>
      <c r="C346" s="20" t="s">
        <v>233</v>
      </c>
      <c r="D346" s="20" t="s">
        <v>581</v>
      </c>
      <c r="E346" s="20" t="s">
        <v>582</v>
      </c>
      <c r="F346" s="20" t="s">
        <v>584</v>
      </c>
      <c r="G346" s="20" t="s">
        <v>218</v>
      </c>
      <c r="H346" s="21">
        <v>900</v>
      </c>
      <c r="I346" s="21">
        <v>1219.5</v>
      </c>
    </row>
    <row r="347" spans="1:9" x14ac:dyDescent="0.45">
      <c r="B347" s="20" t="s">
        <v>585</v>
      </c>
      <c r="C347" s="20" t="s">
        <v>233</v>
      </c>
      <c r="D347" s="20" t="s">
        <v>586</v>
      </c>
      <c r="E347" s="20" t="s">
        <v>258</v>
      </c>
      <c r="F347" s="20" t="s">
        <v>587</v>
      </c>
      <c r="G347" s="20" t="s">
        <v>218</v>
      </c>
      <c r="H347" s="21">
        <v>594</v>
      </c>
      <c r="I347" s="21">
        <v>1813.5</v>
      </c>
    </row>
    <row r="348" spans="1:9" x14ac:dyDescent="0.45">
      <c r="B348" s="20" t="s">
        <v>588</v>
      </c>
      <c r="C348" s="20" t="s">
        <v>233</v>
      </c>
      <c r="D348" s="20" t="s">
        <v>589</v>
      </c>
      <c r="E348" s="20" t="s">
        <v>258</v>
      </c>
      <c r="F348" s="20" t="s">
        <v>590</v>
      </c>
      <c r="G348" s="20" t="s">
        <v>218</v>
      </c>
      <c r="H348" s="21">
        <v>1278</v>
      </c>
      <c r="I348" s="21">
        <v>3091.5</v>
      </c>
    </row>
    <row r="349" spans="1:9" x14ac:dyDescent="0.45">
      <c r="B349" s="20" t="s">
        <v>588</v>
      </c>
      <c r="C349" s="20" t="s">
        <v>233</v>
      </c>
      <c r="D349" s="20" t="s">
        <v>589</v>
      </c>
      <c r="E349" s="20" t="s">
        <v>258</v>
      </c>
      <c r="F349" s="20" t="s">
        <v>591</v>
      </c>
      <c r="G349" s="20" t="s">
        <v>218</v>
      </c>
      <c r="H349" s="21">
        <v>4095</v>
      </c>
      <c r="I349" s="21">
        <v>7186.5</v>
      </c>
    </row>
    <row r="350" spans="1:9" x14ac:dyDescent="0.45">
      <c r="B350" s="20" t="s">
        <v>484</v>
      </c>
      <c r="C350" s="20" t="s">
        <v>233</v>
      </c>
      <c r="D350" s="20" t="s">
        <v>592</v>
      </c>
      <c r="E350" s="20" t="s">
        <v>258</v>
      </c>
      <c r="F350" s="20" t="s">
        <v>593</v>
      </c>
      <c r="G350" s="20" t="s">
        <v>218</v>
      </c>
      <c r="H350" s="21">
        <v>93</v>
      </c>
      <c r="I350" s="21">
        <v>7279.5</v>
      </c>
    </row>
    <row r="351" spans="1:9" x14ac:dyDescent="0.45">
      <c r="B351" s="20" t="s">
        <v>247</v>
      </c>
      <c r="C351" s="20" t="s">
        <v>233</v>
      </c>
      <c r="D351" s="20" t="s">
        <v>257</v>
      </c>
      <c r="E351" s="20" t="s">
        <v>258</v>
      </c>
      <c r="F351" s="20" t="s">
        <v>259</v>
      </c>
      <c r="G351" s="20" t="s">
        <v>218</v>
      </c>
      <c r="H351" s="21">
        <v>906.39</v>
      </c>
      <c r="I351" s="21">
        <v>8185.89</v>
      </c>
    </row>
    <row r="352" spans="1:9" x14ac:dyDescent="0.45">
      <c r="A352" s="14" t="s">
        <v>260</v>
      </c>
      <c r="H352" s="22">
        <f>H345+H346+H347+H348+H349+H350+H351</f>
        <v>8185.89</v>
      </c>
    </row>
    <row r="353" spans="1:9" x14ac:dyDescent="0.45">
      <c r="A353" s="7" t="s">
        <v>52</v>
      </c>
    </row>
    <row r="354" spans="1:9" x14ac:dyDescent="0.45">
      <c r="A354" s="7" t="s">
        <v>53</v>
      </c>
    </row>
    <row r="355" spans="1:9" x14ac:dyDescent="0.45">
      <c r="B355" s="20" t="s">
        <v>555</v>
      </c>
      <c r="C355" s="20" t="s">
        <v>233</v>
      </c>
      <c r="D355" s="20" t="s">
        <v>284</v>
      </c>
      <c r="E355" s="20" t="s">
        <v>261</v>
      </c>
      <c r="F355" s="20" t="s">
        <v>594</v>
      </c>
      <c r="G355" s="20" t="s">
        <v>218</v>
      </c>
      <c r="H355" s="21">
        <v>2083.34</v>
      </c>
      <c r="I355" s="21">
        <v>2083.34</v>
      </c>
    </row>
    <row r="356" spans="1:9" x14ac:dyDescent="0.45">
      <c r="B356" s="20" t="s">
        <v>555</v>
      </c>
      <c r="C356" s="20" t="s">
        <v>233</v>
      </c>
      <c r="D356" s="20" t="s">
        <v>284</v>
      </c>
      <c r="E356" s="20" t="s">
        <v>261</v>
      </c>
      <c r="F356" s="20" t="s">
        <v>253</v>
      </c>
      <c r="G356" s="20" t="s">
        <v>218</v>
      </c>
      <c r="H356" s="21">
        <v>-250</v>
      </c>
      <c r="I356" s="21">
        <v>1833.3400000000001</v>
      </c>
    </row>
    <row r="357" spans="1:9" x14ac:dyDescent="0.45">
      <c r="B357" s="20" t="s">
        <v>555</v>
      </c>
      <c r="C357" s="20" t="s">
        <v>233</v>
      </c>
      <c r="D357" s="20" t="s">
        <v>284</v>
      </c>
      <c r="E357" s="20" t="s">
        <v>261</v>
      </c>
      <c r="F357" s="20" t="s">
        <v>263</v>
      </c>
      <c r="G357" s="20" t="s">
        <v>218</v>
      </c>
      <c r="H357" s="21">
        <v>-100</v>
      </c>
      <c r="I357" s="21">
        <v>1733.3400000000001</v>
      </c>
    </row>
    <row r="358" spans="1:9" x14ac:dyDescent="0.45">
      <c r="B358" s="20" t="s">
        <v>555</v>
      </c>
      <c r="C358" s="20" t="s">
        <v>233</v>
      </c>
      <c r="D358" s="20" t="s">
        <v>284</v>
      </c>
      <c r="E358" s="20" t="s">
        <v>261</v>
      </c>
      <c r="F358" s="20" t="s">
        <v>237</v>
      </c>
      <c r="G358" s="20" t="s">
        <v>218</v>
      </c>
      <c r="H358" s="21">
        <v>-30.21</v>
      </c>
      <c r="I358" s="21">
        <v>1703.13</v>
      </c>
    </row>
    <row r="359" spans="1:9" x14ac:dyDescent="0.45">
      <c r="B359" s="20" t="s">
        <v>555</v>
      </c>
      <c r="C359" s="20" t="s">
        <v>233</v>
      </c>
      <c r="D359" s="20" t="s">
        <v>284</v>
      </c>
      <c r="E359" s="20" t="s">
        <v>261</v>
      </c>
      <c r="F359" s="20" t="s">
        <v>244</v>
      </c>
      <c r="G359" s="20" t="s">
        <v>218</v>
      </c>
      <c r="H359" s="21">
        <v>-129.16999999999999</v>
      </c>
      <c r="I359" s="21">
        <v>1573.96</v>
      </c>
    </row>
    <row r="360" spans="1:9" x14ac:dyDescent="0.45">
      <c r="B360" s="20" t="s">
        <v>435</v>
      </c>
      <c r="C360" s="20" t="s">
        <v>233</v>
      </c>
      <c r="D360" s="20" t="s">
        <v>234</v>
      </c>
      <c r="E360" s="20" t="s">
        <v>245</v>
      </c>
      <c r="F360" s="20" t="s">
        <v>595</v>
      </c>
      <c r="G360" s="20" t="s">
        <v>199</v>
      </c>
      <c r="H360" s="21">
        <v>568.75</v>
      </c>
      <c r="I360" s="21">
        <v>2142.71</v>
      </c>
    </row>
    <row r="361" spans="1:9" x14ac:dyDescent="0.45">
      <c r="B361" s="20" t="s">
        <v>463</v>
      </c>
      <c r="C361" s="20" t="s">
        <v>233</v>
      </c>
      <c r="D361" s="20" t="s">
        <v>234</v>
      </c>
      <c r="E361" s="20" t="s">
        <v>266</v>
      </c>
      <c r="F361" s="20" t="s">
        <v>267</v>
      </c>
      <c r="G361" s="20" t="s">
        <v>218</v>
      </c>
      <c r="H361" s="21">
        <v>100</v>
      </c>
      <c r="I361" s="21">
        <v>2242.71</v>
      </c>
    </row>
    <row r="362" spans="1:9" x14ac:dyDescent="0.45">
      <c r="B362" s="20" t="s">
        <v>465</v>
      </c>
      <c r="C362" s="20" t="s">
        <v>233</v>
      </c>
      <c r="D362" s="20" t="s">
        <v>596</v>
      </c>
      <c r="E362" s="20" t="s">
        <v>261</v>
      </c>
      <c r="F362" s="20" t="s">
        <v>262</v>
      </c>
      <c r="G362" s="20" t="s">
        <v>218</v>
      </c>
      <c r="H362" s="21">
        <v>2083.34</v>
      </c>
      <c r="I362" s="21">
        <v>4326.05</v>
      </c>
    </row>
    <row r="363" spans="1:9" x14ac:dyDescent="0.45">
      <c r="B363" s="20" t="s">
        <v>465</v>
      </c>
      <c r="C363" s="20" t="s">
        <v>233</v>
      </c>
      <c r="D363" s="20" t="s">
        <v>596</v>
      </c>
      <c r="E363" s="20" t="s">
        <v>261</v>
      </c>
      <c r="F363" s="20" t="s">
        <v>253</v>
      </c>
      <c r="G363" s="20" t="s">
        <v>218</v>
      </c>
      <c r="H363" s="21">
        <v>-250</v>
      </c>
      <c r="I363" s="21">
        <v>4076.05</v>
      </c>
    </row>
    <row r="364" spans="1:9" x14ac:dyDescent="0.45">
      <c r="B364" s="20" t="s">
        <v>465</v>
      </c>
      <c r="C364" s="20" t="s">
        <v>233</v>
      </c>
      <c r="D364" s="20" t="s">
        <v>596</v>
      </c>
      <c r="E364" s="20" t="s">
        <v>261</v>
      </c>
      <c r="F364" s="20" t="s">
        <v>263</v>
      </c>
      <c r="G364" s="20" t="s">
        <v>218</v>
      </c>
      <c r="H364" s="21">
        <v>-100</v>
      </c>
      <c r="I364" s="21">
        <v>3976.05</v>
      </c>
    </row>
    <row r="365" spans="1:9" x14ac:dyDescent="0.45">
      <c r="B365" s="20" t="s">
        <v>465</v>
      </c>
      <c r="C365" s="20" t="s">
        <v>233</v>
      </c>
      <c r="D365" s="20" t="s">
        <v>596</v>
      </c>
      <c r="E365" s="20" t="s">
        <v>261</v>
      </c>
      <c r="F365" s="20" t="s">
        <v>237</v>
      </c>
      <c r="G365" s="20" t="s">
        <v>218</v>
      </c>
      <c r="H365" s="21">
        <v>-30.21</v>
      </c>
      <c r="I365" s="21">
        <v>3945.84</v>
      </c>
    </row>
    <row r="366" spans="1:9" x14ac:dyDescent="0.45">
      <c r="B366" s="20" t="s">
        <v>465</v>
      </c>
      <c r="C366" s="20" t="s">
        <v>233</v>
      </c>
      <c r="D366" s="20" t="s">
        <v>596</v>
      </c>
      <c r="E366" s="20" t="s">
        <v>261</v>
      </c>
      <c r="F366" s="20" t="s">
        <v>244</v>
      </c>
      <c r="G366" s="20" t="s">
        <v>218</v>
      </c>
      <c r="H366" s="21">
        <v>-129.16999999999999</v>
      </c>
      <c r="I366" s="21">
        <v>3816.67</v>
      </c>
    </row>
    <row r="367" spans="1:9" x14ac:dyDescent="0.45">
      <c r="B367" s="20" t="s">
        <v>439</v>
      </c>
      <c r="C367" s="20" t="s">
        <v>233</v>
      </c>
      <c r="D367" s="20" t="s">
        <v>234</v>
      </c>
      <c r="E367" s="20" t="s">
        <v>266</v>
      </c>
      <c r="F367" s="20" t="s">
        <v>267</v>
      </c>
      <c r="G367" s="20" t="s">
        <v>218</v>
      </c>
      <c r="H367" s="21">
        <v>100</v>
      </c>
      <c r="I367" s="21">
        <v>3916.67</v>
      </c>
    </row>
    <row r="368" spans="1:9" x14ac:dyDescent="0.45">
      <c r="B368" s="20" t="s">
        <v>564</v>
      </c>
      <c r="C368" s="20" t="s">
        <v>233</v>
      </c>
      <c r="D368" s="20" t="s">
        <v>234</v>
      </c>
      <c r="E368" s="20" t="s">
        <v>245</v>
      </c>
      <c r="F368" s="20" t="s">
        <v>595</v>
      </c>
      <c r="G368" s="20" t="s">
        <v>199</v>
      </c>
      <c r="H368" s="21">
        <v>568.75</v>
      </c>
      <c r="I368" s="21">
        <v>4485.42</v>
      </c>
    </row>
    <row r="369" spans="2:9" x14ac:dyDescent="0.45">
      <c r="B369" s="20" t="s">
        <v>574</v>
      </c>
      <c r="C369" s="20" t="s">
        <v>233</v>
      </c>
      <c r="D369" s="20" t="s">
        <v>295</v>
      </c>
      <c r="E369" s="20" t="s">
        <v>261</v>
      </c>
      <c r="F369" s="20" t="s">
        <v>262</v>
      </c>
      <c r="G369" s="20" t="s">
        <v>218</v>
      </c>
      <c r="H369" s="21">
        <v>2083.34</v>
      </c>
      <c r="I369" s="21">
        <v>6568.76</v>
      </c>
    </row>
    <row r="370" spans="2:9" x14ac:dyDescent="0.45">
      <c r="B370" s="20" t="s">
        <v>574</v>
      </c>
      <c r="C370" s="20" t="s">
        <v>233</v>
      </c>
      <c r="D370" s="20" t="s">
        <v>295</v>
      </c>
      <c r="E370" s="20" t="s">
        <v>261</v>
      </c>
      <c r="F370" s="20" t="s">
        <v>253</v>
      </c>
      <c r="G370" s="20" t="s">
        <v>218</v>
      </c>
      <c r="H370" s="21">
        <v>-250</v>
      </c>
      <c r="I370" s="21">
        <v>6318.76</v>
      </c>
    </row>
    <row r="371" spans="2:9" x14ac:dyDescent="0.45">
      <c r="B371" s="20" t="s">
        <v>574</v>
      </c>
      <c r="C371" s="20" t="s">
        <v>233</v>
      </c>
      <c r="D371" s="20" t="s">
        <v>295</v>
      </c>
      <c r="E371" s="20" t="s">
        <v>261</v>
      </c>
      <c r="F371" s="20" t="s">
        <v>263</v>
      </c>
      <c r="G371" s="20" t="s">
        <v>218</v>
      </c>
      <c r="H371" s="21">
        <v>-100</v>
      </c>
      <c r="I371" s="21">
        <v>6218.76</v>
      </c>
    </row>
    <row r="372" spans="2:9" x14ac:dyDescent="0.45">
      <c r="B372" s="20" t="s">
        <v>574</v>
      </c>
      <c r="C372" s="20" t="s">
        <v>233</v>
      </c>
      <c r="D372" s="20" t="s">
        <v>295</v>
      </c>
      <c r="E372" s="20" t="s">
        <v>261</v>
      </c>
      <c r="F372" s="20" t="s">
        <v>237</v>
      </c>
      <c r="G372" s="20" t="s">
        <v>218</v>
      </c>
      <c r="H372" s="21">
        <v>-30.21</v>
      </c>
      <c r="I372" s="21">
        <v>6188.55</v>
      </c>
    </row>
    <row r="373" spans="2:9" x14ac:dyDescent="0.45">
      <c r="B373" s="20" t="s">
        <v>574</v>
      </c>
      <c r="C373" s="20" t="s">
        <v>233</v>
      </c>
      <c r="D373" s="20" t="s">
        <v>295</v>
      </c>
      <c r="E373" s="20" t="s">
        <v>261</v>
      </c>
      <c r="F373" s="20" t="s">
        <v>244</v>
      </c>
      <c r="G373" s="20" t="s">
        <v>218</v>
      </c>
      <c r="H373" s="21">
        <v>-129.16999999999999</v>
      </c>
      <c r="I373" s="21">
        <v>6059.38</v>
      </c>
    </row>
    <row r="374" spans="2:9" x14ac:dyDescent="0.45">
      <c r="B374" s="20" t="s">
        <v>565</v>
      </c>
      <c r="C374" s="20" t="s">
        <v>233</v>
      </c>
      <c r="D374" s="20" t="s">
        <v>284</v>
      </c>
      <c r="E374" s="20" t="s">
        <v>266</v>
      </c>
      <c r="F374" s="20" t="s">
        <v>267</v>
      </c>
      <c r="G374" s="20" t="s">
        <v>218</v>
      </c>
      <c r="H374" s="21">
        <v>100</v>
      </c>
      <c r="I374" s="21">
        <v>6159.38</v>
      </c>
    </row>
    <row r="375" spans="2:9" x14ac:dyDescent="0.45">
      <c r="B375" s="20" t="s">
        <v>565</v>
      </c>
      <c r="C375" s="20" t="s">
        <v>233</v>
      </c>
      <c r="D375" s="20" t="s">
        <v>234</v>
      </c>
      <c r="E375" s="20" t="s">
        <v>245</v>
      </c>
      <c r="F375" s="20" t="s">
        <v>264</v>
      </c>
      <c r="G375" s="20" t="s">
        <v>199</v>
      </c>
      <c r="H375" s="21">
        <v>568.75</v>
      </c>
      <c r="I375" s="21">
        <v>6728.13</v>
      </c>
    </row>
    <row r="376" spans="2:9" x14ac:dyDescent="0.45">
      <c r="B376" s="20" t="s">
        <v>566</v>
      </c>
      <c r="C376" s="20" t="s">
        <v>233</v>
      </c>
      <c r="D376" s="20" t="s">
        <v>284</v>
      </c>
      <c r="E376" s="20" t="s">
        <v>261</v>
      </c>
      <c r="F376" s="20" t="s">
        <v>262</v>
      </c>
      <c r="G376" s="20" t="s">
        <v>218</v>
      </c>
      <c r="H376" s="21">
        <v>2083.34</v>
      </c>
      <c r="I376" s="21">
        <v>8811.4700000000012</v>
      </c>
    </row>
    <row r="377" spans="2:9" x14ac:dyDescent="0.45">
      <c r="B377" s="20" t="s">
        <v>566</v>
      </c>
      <c r="C377" s="20" t="s">
        <v>233</v>
      </c>
      <c r="D377" s="20" t="s">
        <v>284</v>
      </c>
      <c r="E377" s="20" t="s">
        <v>261</v>
      </c>
      <c r="F377" s="20" t="s">
        <v>253</v>
      </c>
      <c r="G377" s="20" t="s">
        <v>218</v>
      </c>
      <c r="H377" s="21">
        <v>-250</v>
      </c>
      <c r="I377" s="21">
        <v>8561.4700000000012</v>
      </c>
    </row>
    <row r="378" spans="2:9" x14ac:dyDescent="0.45">
      <c r="B378" s="20" t="s">
        <v>566</v>
      </c>
      <c r="C378" s="20" t="s">
        <v>233</v>
      </c>
      <c r="D378" s="20" t="s">
        <v>284</v>
      </c>
      <c r="E378" s="20" t="s">
        <v>261</v>
      </c>
      <c r="F378" s="20" t="s">
        <v>263</v>
      </c>
      <c r="G378" s="20" t="s">
        <v>218</v>
      </c>
      <c r="H378" s="21">
        <v>-100</v>
      </c>
      <c r="I378" s="21">
        <v>8461.4700000000012</v>
      </c>
    </row>
    <row r="379" spans="2:9" x14ac:dyDescent="0.45">
      <c r="B379" s="20" t="s">
        <v>566</v>
      </c>
      <c r="C379" s="20" t="s">
        <v>233</v>
      </c>
      <c r="D379" s="20" t="s">
        <v>284</v>
      </c>
      <c r="E379" s="20" t="s">
        <v>261</v>
      </c>
      <c r="F379" s="20" t="s">
        <v>237</v>
      </c>
      <c r="G379" s="20" t="s">
        <v>218</v>
      </c>
      <c r="H379" s="21">
        <v>-30.21</v>
      </c>
      <c r="I379" s="21">
        <v>8431.260000000002</v>
      </c>
    </row>
    <row r="380" spans="2:9" x14ac:dyDescent="0.45">
      <c r="B380" s="20" t="s">
        <v>566</v>
      </c>
      <c r="C380" s="20" t="s">
        <v>233</v>
      </c>
      <c r="D380" s="20" t="s">
        <v>284</v>
      </c>
      <c r="E380" s="20" t="s">
        <v>261</v>
      </c>
      <c r="F380" s="20" t="s">
        <v>244</v>
      </c>
      <c r="G380" s="20" t="s">
        <v>218</v>
      </c>
      <c r="H380" s="21">
        <v>-129.16999999999999</v>
      </c>
      <c r="I380" s="21">
        <v>8302.090000000002</v>
      </c>
    </row>
    <row r="381" spans="2:9" x14ac:dyDescent="0.45">
      <c r="B381" s="20" t="s">
        <v>570</v>
      </c>
      <c r="C381" s="20" t="s">
        <v>233</v>
      </c>
      <c r="D381" s="20" t="s">
        <v>234</v>
      </c>
      <c r="E381" s="20" t="s">
        <v>245</v>
      </c>
      <c r="F381" s="20" t="s">
        <v>595</v>
      </c>
      <c r="G381" s="20" t="s">
        <v>199</v>
      </c>
      <c r="H381" s="21">
        <v>568.75</v>
      </c>
      <c r="I381" s="21">
        <v>8870.840000000002</v>
      </c>
    </row>
    <row r="382" spans="2:9" x14ac:dyDescent="0.45">
      <c r="B382" s="20" t="s">
        <v>570</v>
      </c>
      <c r="C382" s="20" t="s">
        <v>233</v>
      </c>
      <c r="D382" s="20" t="s">
        <v>234</v>
      </c>
      <c r="E382" s="20" t="s">
        <v>266</v>
      </c>
      <c r="F382" s="20" t="s">
        <v>267</v>
      </c>
      <c r="G382" s="20" t="s">
        <v>218</v>
      </c>
      <c r="H382" s="21">
        <v>100</v>
      </c>
      <c r="I382" s="21">
        <v>8970.840000000002</v>
      </c>
    </row>
    <row r="383" spans="2:9" x14ac:dyDescent="0.45">
      <c r="B383" s="20" t="s">
        <v>577</v>
      </c>
      <c r="C383" s="20" t="s">
        <v>233</v>
      </c>
      <c r="D383" s="20" t="s">
        <v>284</v>
      </c>
      <c r="E383" s="20" t="s">
        <v>261</v>
      </c>
      <c r="F383" s="20" t="s">
        <v>262</v>
      </c>
      <c r="G383" s="20" t="s">
        <v>218</v>
      </c>
      <c r="H383" s="21">
        <v>2083.34</v>
      </c>
      <c r="I383" s="21">
        <v>11054.180000000002</v>
      </c>
    </row>
    <row r="384" spans="2:9" x14ac:dyDescent="0.45">
      <c r="B384" s="20" t="s">
        <v>577</v>
      </c>
      <c r="C384" s="20" t="s">
        <v>233</v>
      </c>
      <c r="D384" s="20" t="s">
        <v>284</v>
      </c>
      <c r="E384" s="20" t="s">
        <v>261</v>
      </c>
      <c r="F384" s="20" t="s">
        <v>253</v>
      </c>
      <c r="G384" s="20" t="s">
        <v>218</v>
      </c>
      <c r="H384" s="21">
        <v>-250</v>
      </c>
      <c r="I384" s="21">
        <v>10804.180000000002</v>
      </c>
    </row>
    <row r="385" spans="2:9" x14ac:dyDescent="0.45">
      <c r="B385" s="20" t="s">
        <v>577</v>
      </c>
      <c r="C385" s="20" t="s">
        <v>233</v>
      </c>
      <c r="D385" s="20" t="s">
        <v>284</v>
      </c>
      <c r="E385" s="20" t="s">
        <v>261</v>
      </c>
      <c r="F385" s="20" t="s">
        <v>263</v>
      </c>
      <c r="G385" s="20" t="s">
        <v>218</v>
      </c>
      <c r="H385" s="21">
        <v>-100</v>
      </c>
      <c r="I385" s="21">
        <v>10704.180000000002</v>
      </c>
    </row>
    <row r="386" spans="2:9" x14ac:dyDescent="0.45">
      <c r="B386" s="20" t="s">
        <v>577</v>
      </c>
      <c r="C386" s="20" t="s">
        <v>233</v>
      </c>
      <c r="D386" s="20" t="s">
        <v>284</v>
      </c>
      <c r="E386" s="20" t="s">
        <v>261</v>
      </c>
      <c r="F386" s="20" t="s">
        <v>237</v>
      </c>
      <c r="G386" s="20" t="s">
        <v>218</v>
      </c>
      <c r="H386" s="21">
        <v>-30.21</v>
      </c>
      <c r="I386" s="21">
        <v>10673.970000000003</v>
      </c>
    </row>
    <row r="387" spans="2:9" x14ac:dyDescent="0.45">
      <c r="B387" s="20" t="s">
        <v>577</v>
      </c>
      <c r="C387" s="20" t="s">
        <v>233</v>
      </c>
      <c r="D387" s="20" t="s">
        <v>284</v>
      </c>
      <c r="E387" s="20" t="s">
        <v>261</v>
      </c>
      <c r="F387" s="20" t="s">
        <v>244</v>
      </c>
      <c r="G387" s="20" t="s">
        <v>218</v>
      </c>
      <c r="H387" s="21">
        <v>-129.16999999999999</v>
      </c>
      <c r="I387" s="21">
        <v>10544.800000000003</v>
      </c>
    </row>
    <row r="388" spans="2:9" x14ac:dyDescent="0.45">
      <c r="B388" s="20" t="s">
        <v>571</v>
      </c>
      <c r="C388" s="20" t="s">
        <v>233</v>
      </c>
      <c r="D388" s="20" t="s">
        <v>234</v>
      </c>
      <c r="E388" s="20" t="s">
        <v>266</v>
      </c>
      <c r="F388" s="20" t="s">
        <v>267</v>
      </c>
      <c r="G388" s="20" t="s">
        <v>218</v>
      </c>
      <c r="H388" s="21">
        <v>100</v>
      </c>
      <c r="I388" s="21">
        <v>10644.800000000003</v>
      </c>
    </row>
    <row r="389" spans="2:9" x14ac:dyDescent="0.45">
      <c r="B389" s="20" t="s">
        <v>571</v>
      </c>
      <c r="C389" s="20" t="s">
        <v>233</v>
      </c>
      <c r="D389" s="20" t="s">
        <v>234</v>
      </c>
      <c r="E389" s="20" t="s">
        <v>245</v>
      </c>
      <c r="F389" s="20" t="s">
        <v>264</v>
      </c>
      <c r="G389" s="20" t="s">
        <v>199</v>
      </c>
      <c r="H389" s="21">
        <v>568.75</v>
      </c>
      <c r="I389" s="21">
        <v>11213.550000000003</v>
      </c>
    </row>
    <row r="390" spans="2:9" x14ac:dyDescent="0.45">
      <c r="B390" s="20" t="s">
        <v>579</v>
      </c>
      <c r="C390" s="20" t="s">
        <v>233</v>
      </c>
      <c r="D390" s="20" t="s">
        <v>234</v>
      </c>
      <c r="E390" s="20" t="s">
        <v>261</v>
      </c>
      <c r="F390" s="20" t="s">
        <v>262</v>
      </c>
      <c r="G390" s="20" t="s">
        <v>218</v>
      </c>
      <c r="H390" s="21">
        <v>2083.34</v>
      </c>
      <c r="I390" s="21">
        <v>13296.890000000003</v>
      </c>
    </row>
    <row r="391" spans="2:9" x14ac:dyDescent="0.45">
      <c r="B391" s="20" t="s">
        <v>579</v>
      </c>
      <c r="C391" s="20" t="s">
        <v>233</v>
      </c>
      <c r="D391" s="20" t="s">
        <v>234</v>
      </c>
      <c r="E391" s="20" t="s">
        <v>261</v>
      </c>
      <c r="F391" s="20" t="s">
        <v>253</v>
      </c>
      <c r="G391" s="20" t="s">
        <v>218</v>
      </c>
      <c r="H391" s="21">
        <v>-250</v>
      </c>
      <c r="I391" s="21">
        <v>13046.890000000003</v>
      </c>
    </row>
    <row r="392" spans="2:9" x14ac:dyDescent="0.45">
      <c r="B392" s="20" t="s">
        <v>579</v>
      </c>
      <c r="C392" s="20" t="s">
        <v>233</v>
      </c>
      <c r="D392" s="20" t="s">
        <v>234</v>
      </c>
      <c r="E392" s="20" t="s">
        <v>261</v>
      </c>
      <c r="F392" s="20" t="s">
        <v>263</v>
      </c>
      <c r="G392" s="20" t="s">
        <v>218</v>
      </c>
      <c r="H392" s="21">
        <v>-100</v>
      </c>
      <c r="I392" s="21">
        <v>12946.890000000003</v>
      </c>
    </row>
    <row r="393" spans="2:9" x14ac:dyDescent="0.45">
      <c r="B393" s="20" t="s">
        <v>579</v>
      </c>
      <c r="C393" s="20" t="s">
        <v>233</v>
      </c>
      <c r="D393" s="20" t="s">
        <v>234</v>
      </c>
      <c r="E393" s="20" t="s">
        <v>261</v>
      </c>
      <c r="F393" s="20" t="s">
        <v>237</v>
      </c>
      <c r="G393" s="20" t="s">
        <v>218</v>
      </c>
      <c r="H393" s="21">
        <v>-30.21</v>
      </c>
      <c r="I393" s="21">
        <v>12916.680000000004</v>
      </c>
    </row>
    <row r="394" spans="2:9" x14ac:dyDescent="0.45">
      <c r="B394" s="20" t="s">
        <v>579</v>
      </c>
      <c r="C394" s="20" t="s">
        <v>233</v>
      </c>
      <c r="D394" s="20" t="s">
        <v>234</v>
      </c>
      <c r="E394" s="20" t="s">
        <v>261</v>
      </c>
      <c r="F394" s="20" t="s">
        <v>244</v>
      </c>
      <c r="G394" s="20" t="s">
        <v>218</v>
      </c>
      <c r="H394" s="21">
        <v>-129.16999999999999</v>
      </c>
      <c r="I394" s="21">
        <v>12787.510000000004</v>
      </c>
    </row>
    <row r="395" spans="2:9" x14ac:dyDescent="0.45">
      <c r="B395" s="20" t="s">
        <v>232</v>
      </c>
      <c r="C395" s="20" t="s">
        <v>233</v>
      </c>
      <c r="D395" s="20" t="s">
        <v>234</v>
      </c>
      <c r="E395" s="20" t="s">
        <v>261</v>
      </c>
      <c r="F395" s="20" t="s">
        <v>262</v>
      </c>
      <c r="G395" s="20" t="s">
        <v>218</v>
      </c>
      <c r="H395" s="21">
        <v>2083.34</v>
      </c>
      <c r="I395" s="21">
        <v>14870.850000000004</v>
      </c>
    </row>
    <row r="396" spans="2:9" x14ac:dyDescent="0.45">
      <c r="B396" s="20" t="s">
        <v>232</v>
      </c>
      <c r="C396" s="20" t="s">
        <v>233</v>
      </c>
      <c r="D396" s="20" t="s">
        <v>234</v>
      </c>
      <c r="E396" s="20" t="s">
        <v>261</v>
      </c>
      <c r="F396" s="20" t="s">
        <v>253</v>
      </c>
      <c r="G396" s="20" t="s">
        <v>218</v>
      </c>
      <c r="H396" s="21">
        <v>-250</v>
      </c>
      <c r="I396" s="21">
        <v>14620.850000000004</v>
      </c>
    </row>
    <row r="397" spans="2:9" x14ac:dyDescent="0.45">
      <c r="B397" s="20" t="s">
        <v>232</v>
      </c>
      <c r="C397" s="20" t="s">
        <v>233</v>
      </c>
      <c r="D397" s="20" t="s">
        <v>234</v>
      </c>
      <c r="E397" s="20" t="s">
        <v>261</v>
      </c>
      <c r="F397" s="20" t="s">
        <v>263</v>
      </c>
      <c r="G397" s="20" t="s">
        <v>218</v>
      </c>
      <c r="H397" s="21">
        <v>-100</v>
      </c>
      <c r="I397" s="21">
        <v>14520.850000000004</v>
      </c>
    </row>
    <row r="398" spans="2:9" x14ac:dyDescent="0.45">
      <c r="B398" s="20" t="s">
        <v>232</v>
      </c>
      <c r="C398" s="20" t="s">
        <v>233</v>
      </c>
      <c r="D398" s="20" t="s">
        <v>234</v>
      </c>
      <c r="E398" s="20" t="s">
        <v>261</v>
      </c>
      <c r="F398" s="20" t="s">
        <v>237</v>
      </c>
      <c r="G398" s="20" t="s">
        <v>218</v>
      </c>
      <c r="H398" s="21">
        <v>-30.21</v>
      </c>
      <c r="I398" s="21">
        <v>14490.640000000005</v>
      </c>
    </row>
    <row r="399" spans="2:9" x14ac:dyDescent="0.45">
      <c r="B399" s="20" t="s">
        <v>232</v>
      </c>
      <c r="C399" s="20" t="s">
        <v>233</v>
      </c>
      <c r="D399" s="20" t="s">
        <v>234</v>
      </c>
      <c r="E399" s="20" t="s">
        <v>261</v>
      </c>
      <c r="F399" s="20" t="s">
        <v>244</v>
      </c>
      <c r="G399" s="20" t="s">
        <v>218</v>
      </c>
      <c r="H399" s="21">
        <v>-129.16999999999999</v>
      </c>
      <c r="I399" s="21">
        <v>14361.470000000005</v>
      </c>
    </row>
    <row r="400" spans="2:9" x14ac:dyDescent="0.45">
      <c r="B400" s="20" t="s">
        <v>232</v>
      </c>
      <c r="C400" s="20" t="s">
        <v>233</v>
      </c>
      <c r="D400" s="20" t="s">
        <v>234</v>
      </c>
      <c r="E400" s="20" t="s">
        <v>245</v>
      </c>
      <c r="F400" s="20" t="s">
        <v>264</v>
      </c>
      <c r="G400" s="20" t="s">
        <v>199</v>
      </c>
      <c r="H400" s="21">
        <v>568.75</v>
      </c>
      <c r="I400" s="21">
        <v>14930.220000000005</v>
      </c>
    </row>
    <row r="401" spans="1:9" x14ac:dyDescent="0.45">
      <c r="B401" s="20" t="s">
        <v>265</v>
      </c>
      <c r="C401" s="20" t="s">
        <v>233</v>
      </c>
      <c r="D401" s="20" t="s">
        <v>234</v>
      </c>
      <c r="E401" s="20" t="s">
        <v>266</v>
      </c>
      <c r="F401" s="20" t="s">
        <v>267</v>
      </c>
      <c r="G401" s="20" t="s">
        <v>218</v>
      </c>
      <c r="H401" s="21">
        <v>100</v>
      </c>
      <c r="I401" s="21">
        <v>15030.220000000005</v>
      </c>
    </row>
    <row r="402" spans="1:9" x14ac:dyDescent="0.45">
      <c r="B402" s="20" t="s">
        <v>213</v>
      </c>
      <c r="C402" s="20" t="s">
        <v>233</v>
      </c>
      <c r="D402" s="20" t="s">
        <v>234</v>
      </c>
      <c r="E402" s="20" t="s">
        <v>245</v>
      </c>
      <c r="F402" s="20" t="s">
        <v>264</v>
      </c>
      <c r="G402" s="20" t="s">
        <v>199</v>
      </c>
      <c r="H402" s="21">
        <v>568.75</v>
      </c>
      <c r="I402" s="21">
        <v>15598.970000000005</v>
      </c>
    </row>
    <row r="403" spans="1:9" x14ac:dyDescent="0.45">
      <c r="B403" s="20" t="s">
        <v>213</v>
      </c>
      <c r="C403" s="20" t="s">
        <v>233</v>
      </c>
      <c r="D403" s="20" t="s">
        <v>234</v>
      </c>
      <c r="E403" s="20" t="s">
        <v>266</v>
      </c>
      <c r="F403" s="20" t="s">
        <v>267</v>
      </c>
      <c r="G403" s="20" t="s">
        <v>218</v>
      </c>
      <c r="H403" s="21">
        <v>100</v>
      </c>
      <c r="I403" s="21">
        <v>15698.970000000005</v>
      </c>
    </row>
    <row r="404" spans="1:9" x14ac:dyDescent="0.45">
      <c r="A404" s="17" t="s">
        <v>57</v>
      </c>
      <c r="H404" s="22">
        <f>H355+H356+H357+H358+H359+H360+H361+H362+H363+H364+H365+H366+H367+H368+H369+H370+H371+H372+H373+H374+H375+H376+H377+H378+H379+H380+H381+H382+H383+H384+H385+H386+H387+H388+H389+H390+H391+H392+H393+H394+H395+H396+H397+H398+H399+H400+H401+H402+H403</f>
        <v>15698.970000000005</v>
      </c>
    </row>
    <row r="405" spans="1:9" x14ac:dyDescent="0.45">
      <c r="A405" s="7" t="s">
        <v>54</v>
      </c>
    </row>
    <row r="406" spans="1:9" x14ac:dyDescent="0.45">
      <c r="B406" s="20" t="s">
        <v>555</v>
      </c>
      <c r="C406" s="20" t="s">
        <v>233</v>
      </c>
      <c r="D406" s="20" t="s">
        <v>284</v>
      </c>
      <c r="E406" s="20" t="s">
        <v>270</v>
      </c>
      <c r="F406" s="20" t="s">
        <v>597</v>
      </c>
      <c r="G406" s="20" t="s">
        <v>218</v>
      </c>
      <c r="H406" s="21">
        <v>144.79</v>
      </c>
      <c r="I406" s="21">
        <v>144.79</v>
      </c>
    </row>
    <row r="407" spans="1:9" x14ac:dyDescent="0.45">
      <c r="A407" s="27" t="s">
        <v>598</v>
      </c>
      <c r="H407" s="22">
        <f>H406</f>
        <v>144.79</v>
      </c>
    </row>
    <row r="408" spans="1:9" x14ac:dyDescent="0.45">
      <c r="A408" s="7" t="s">
        <v>55</v>
      </c>
    </row>
    <row r="409" spans="1:9" x14ac:dyDescent="0.45">
      <c r="B409" s="20" t="s">
        <v>555</v>
      </c>
      <c r="C409" s="20" t="s">
        <v>233</v>
      </c>
      <c r="D409" s="20" t="s">
        <v>284</v>
      </c>
      <c r="E409" s="20" t="s">
        <v>261</v>
      </c>
      <c r="F409" s="20" t="s">
        <v>599</v>
      </c>
      <c r="G409" s="20" t="s">
        <v>218</v>
      </c>
      <c r="H409" s="21">
        <v>-150</v>
      </c>
      <c r="I409" s="21">
        <v>-150</v>
      </c>
    </row>
    <row r="410" spans="1:9" x14ac:dyDescent="0.45">
      <c r="B410" s="20" t="s">
        <v>435</v>
      </c>
      <c r="C410" s="20" t="s">
        <v>233</v>
      </c>
      <c r="D410" s="20" t="s">
        <v>234</v>
      </c>
      <c r="E410" s="20" t="s">
        <v>600</v>
      </c>
      <c r="F410" s="20" t="s">
        <v>601</v>
      </c>
      <c r="G410" s="20" t="s">
        <v>199</v>
      </c>
      <c r="H410" s="21">
        <v>300</v>
      </c>
      <c r="I410" s="21">
        <v>150</v>
      </c>
    </row>
    <row r="411" spans="1:9" x14ac:dyDescent="0.45">
      <c r="B411" s="20" t="s">
        <v>465</v>
      </c>
      <c r="C411" s="20" t="s">
        <v>233</v>
      </c>
      <c r="D411" s="20" t="s">
        <v>596</v>
      </c>
      <c r="E411" s="20" t="s">
        <v>261</v>
      </c>
      <c r="F411" s="20" t="s">
        <v>268</v>
      </c>
      <c r="G411" s="20" t="s">
        <v>218</v>
      </c>
      <c r="H411" s="21">
        <v>-150</v>
      </c>
      <c r="I411" s="23">
        <v>0</v>
      </c>
    </row>
    <row r="412" spans="1:9" x14ac:dyDescent="0.45">
      <c r="B412" s="20" t="s">
        <v>564</v>
      </c>
      <c r="C412" s="20" t="s">
        <v>233</v>
      </c>
      <c r="D412" s="20" t="s">
        <v>234</v>
      </c>
      <c r="E412" s="20" t="s">
        <v>600</v>
      </c>
      <c r="F412" s="20" t="s">
        <v>601</v>
      </c>
      <c r="G412" s="20" t="s">
        <v>199</v>
      </c>
      <c r="H412" s="21">
        <v>300</v>
      </c>
      <c r="I412" s="21">
        <v>300</v>
      </c>
    </row>
    <row r="413" spans="1:9" x14ac:dyDescent="0.45">
      <c r="B413" s="20" t="s">
        <v>574</v>
      </c>
      <c r="C413" s="20" t="s">
        <v>233</v>
      </c>
      <c r="D413" s="20" t="s">
        <v>295</v>
      </c>
      <c r="E413" s="20" t="s">
        <v>261</v>
      </c>
      <c r="F413" s="20" t="s">
        <v>268</v>
      </c>
      <c r="G413" s="20" t="s">
        <v>218</v>
      </c>
      <c r="H413" s="21">
        <v>-150</v>
      </c>
      <c r="I413" s="21">
        <v>150</v>
      </c>
    </row>
    <row r="414" spans="1:9" x14ac:dyDescent="0.45">
      <c r="B414" s="20" t="s">
        <v>566</v>
      </c>
      <c r="C414" s="20" t="s">
        <v>233</v>
      </c>
      <c r="D414" s="20" t="s">
        <v>284</v>
      </c>
      <c r="E414" s="20" t="s">
        <v>261</v>
      </c>
      <c r="F414" s="20" t="s">
        <v>268</v>
      </c>
      <c r="G414" s="20" t="s">
        <v>218</v>
      </c>
      <c r="H414" s="21">
        <v>-150</v>
      </c>
      <c r="I414" s="23">
        <v>0</v>
      </c>
    </row>
    <row r="415" spans="1:9" x14ac:dyDescent="0.45">
      <c r="B415" s="20" t="s">
        <v>570</v>
      </c>
      <c r="C415" s="20" t="s">
        <v>233</v>
      </c>
      <c r="D415" s="20" t="s">
        <v>234</v>
      </c>
      <c r="E415" s="20" t="s">
        <v>602</v>
      </c>
      <c r="F415" s="20" t="s">
        <v>603</v>
      </c>
      <c r="G415" s="20" t="s">
        <v>199</v>
      </c>
      <c r="H415" s="21">
        <v>300</v>
      </c>
      <c r="I415" s="21">
        <v>300</v>
      </c>
    </row>
    <row r="416" spans="1:9" x14ac:dyDescent="0.45">
      <c r="B416" s="20" t="s">
        <v>577</v>
      </c>
      <c r="C416" s="20" t="s">
        <v>233</v>
      </c>
      <c r="D416" s="20" t="s">
        <v>284</v>
      </c>
      <c r="E416" s="20" t="s">
        <v>261</v>
      </c>
      <c r="F416" s="20" t="s">
        <v>268</v>
      </c>
      <c r="G416" s="20" t="s">
        <v>218</v>
      </c>
      <c r="H416" s="21">
        <v>-150</v>
      </c>
      <c r="I416" s="21">
        <v>150</v>
      </c>
    </row>
    <row r="417" spans="1:9" x14ac:dyDescent="0.45">
      <c r="B417" s="20" t="s">
        <v>571</v>
      </c>
      <c r="C417" s="20" t="s">
        <v>233</v>
      </c>
      <c r="D417" s="20" t="s">
        <v>234</v>
      </c>
      <c r="E417" s="20" t="s">
        <v>602</v>
      </c>
      <c r="F417" s="20" t="s">
        <v>603</v>
      </c>
      <c r="G417" s="20" t="s">
        <v>199</v>
      </c>
      <c r="H417" s="21">
        <v>300</v>
      </c>
      <c r="I417" s="21">
        <v>450</v>
      </c>
    </row>
    <row r="418" spans="1:9" x14ac:dyDescent="0.45">
      <c r="B418" s="20" t="s">
        <v>604</v>
      </c>
      <c r="C418" s="20" t="s">
        <v>233</v>
      </c>
      <c r="D418" s="20" t="s">
        <v>284</v>
      </c>
      <c r="E418" s="20" t="s">
        <v>602</v>
      </c>
      <c r="F418" s="20" t="s">
        <v>603</v>
      </c>
      <c r="G418" s="20" t="s">
        <v>199</v>
      </c>
      <c r="H418" s="21">
        <v>300</v>
      </c>
      <c r="I418" s="21">
        <v>750</v>
      </c>
    </row>
    <row r="419" spans="1:9" x14ac:dyDescent="0.45">
      <c r="B419" s="20" t="s">
        <v>579</v>
      </c>
      <c r="C419" s="20" t="s">
        <v>233</v>
      </c>
      <c r="D419" s="20" t="s">
        <v>234</v>
      </c>
      <c r="E419" s="20" t="s">
        <v>261</v>
      </c>
      <c r="F419" s="20" t="s">
        <v>268</v>
      </c>
      <c r="G419" s="20" t="s">
        <v>218</v>
      </c>
      <c r="H419" s="21">
        <v>-150</v>
      </c>
      <c r="I419" s="21">
        <v>600</v>
      </c>
    </row>
    <row r="420" spans="1:9" x14ac:dyDescent="0.45">
      <c r="B420" s="20" t="s">
        <v>494</v>
      </c>
      <c r="C420" s="20" t="s">
        <v>233</v>
      </c>
      <c r="D420" s="20" t="s">
        <v>234</v>
      </c>
      <c r="E420" s="20" t="s">
        <v>602</v>
      </c>
      <c r="F420" s="20" t="s">
        <v>603</v>
      </c>
      <c r="G420" s="20" t="s">
        <v>199</v>
      </c>
      <c r="H420" s="21">
        <v>300</v>
      </c>
      <c r="I420" s="21">
        <v>900</v>
      </c>
    </row>
    <row r="421" spans="1:9" x14ac:dyDescent="0.45">
      <c r="B421" s="20" t="s">
        <v>232</v>
      </c>
      <c r="C421" s="20" t="s">
        <v>233</v>
      </c>
      <c r="D421" s="20" t="s">
        <v>234</v>
      </c>
      <c r="E421" s="20" t="s">
        <v>261</v>
      </c>
      <c r="F421" s="20" t="s">
        <v>268</v>
      </c>
      <c r="G421" s="20" t="s">
        <v>218</v>
      </c>
      <c r="H421" s="21">
        <v>-150</v>
      </c>
      <c r="I421" s="21">
        <v>750</v>
      </c>
    </row>
    <row r="422" spans="1:9" x14ac:dyDescent="0.45">
      <c r="A422" s="27" t="s">
        <v>269</v>
      </c>
      <c r="H422" s="22">
        <f>H409+H410+H411+H412+H413+H414+H415+H416+H417+H418+H419+H420+H421</f>
        <v>750</v>
      </c>
    </row>
    <row r="423" spans="1:9" x14ac:dyDescent="0.45">
      <c r="A423" s="7" t="s">
        <v>56</v>
      </c>
    </row>
    <row r="424" spans="1:9" x14ac:dyDescent="0.45">
      <c r="B424" s="20" t="s">
        <v>555</v>
      </c>
      <c r="C424" s="20" t="s">
        <v>233</v>
      </c>
      <c r="D424" s="20" t="s">
        <v>284</v>
      </c>
      <c r="E424" s="20" t="s">
        <v>270</v>
      </c>
      <c r="F424" s="20" t="s">
        <v>605</v>
      </c>
      <c r="G424" s="20" t="s">
        <v>218</v>
      </c>
      <c r="H424" s="21">
        <v>573.04</v>
      </c>
      <c r="I424" s="21">
        <v>573.04</v>
      </c>
    </row>
    <row r="425" spans="1:9" x14ac:dyDescent="0.45">
      <c r="B425" s="20" t="s">
        <v>555</v>
      </c>
      <c r="C425" s="20" t="s">
        <v>233</v>
      </c>
      <c r="D425" s="20" t="s">
        <v>284</v>
      </c>
      <c r="E425" s="20" t="s">
        <v>270</v>
      </c>
      <c r="F425" s="20" t="s">
        <v>237</v>
      </c>
      <c r="G425" s="20" t="s">
        <v>218</v>
      </c>
      <c r="H425" s="21">
        <v>-8.31</v>
      </c>
      <c r="I425" s="21">
        <v>564.73</v>
      </c>
    </row>
    <row r="426" spans="1:9" x14ac:dyDescent="0.45">
      <c r="B426" s="20" t="s">
        <v>555</v>
      </c>
      <c r="C426" s="20" t="s">
        <v>233</v>
      </c>
      <c r="D426" s="20" t="s">
        <v>284</v>
      </c>
      <c r="E426" s="20" t="s">
        <v>270</v>
      </c>
      <c r="F426" s="20" t="s">
        <v>244</v>
      </c>
      <c r="G426" s="20" t="s">
        <v>218</v>
      </c>
      <c r="H426" s="21">
        <v>-35.53</v>
      </c>
      <c r="I426" s="21">
        <v>529.20000000000005</v>
      </c>
    </row>
    <row r="427" spans="1:9" x14ac:dyDescent="0.45">
      <c r="B427" s="20" t="s">
        <v>435</v>
      </c>
      <c r="C427" s="20" t="s">
        <v>233</v>
      </c>
      <c r="D427" s="20" t="s">
        <v>234</v>
      </c>
      <c r="E427" s="20" t="s">
        <v>245</v>
      </c>
      <c r="F427" s="20" t="s">
        <v>606</v>
      </c>
      <c r="G427" s="20" t="s">
        <v>199</v>
      </c>
      <c r="H427" s="21">
        <v>87.68</v>
      </c>
      <c r="I427" s="21">
        <v>616.88000000000011</v>
      </c>
    </row>
    <row r="428" spans="1:9" x14ac:dyDescent="0.45">
      <c r="B428" s="20" t="s">
        <v>463</v>
      </c>
      <c r="C428" s="20" t="s">
        <v>233</v>
      </c>
      <c r="D428" s="20" t="s">
        <v>234</v>
      </c>
      <c r="E428" s="20" t="s">
        <v>266</v>
      </c>
      <c r="F428" s="20" t="s">
        <v>273</v>
      </c>
      <c r="G428" s="20" t="s">
        <v>218</v>
      </c>
      <c r="H428" s="20"/>
      <c r="I428" s="21">
        <v>616.88000000000011</v>
      </c>
    </row>
    <row r="429" spans="1:9" x14ac:dyDescent="0.45">
      <c r="B429" s="20" t="s">
        <v>465</v>
      </c>
      <c r="C429" s="20" t="s">
        <v>233</v>
      </c>
      <c r="D429" s="20" t="s">
        <v>607</v>
      </c>
      <c r="E429" s="20" t="s">
        <v>270</v>
      </c>
      <c r="F429" s="20" t="s">
        <v>608</v>
      </c>
      <c r="G429" s="20" t="s">
        <v>218</v>
      </c>
      <c r="H429" s="21">
        <v>615.59</v>
      </c>
      <c r="I429" s="21">
        <v>1232.4700000000003</v>
      </c>
    </row>
    <row r="430" spans="1:9" x14ac:dyDescent="0.45">
      <c r="B430" s="20" t="s">
        <v>465</v>
      </c>
      <c r="C430" s="20" t="s">
        <v>233</v>
      </c>
      <c r="D430" s="20" t="s">
        <v>607</v>
      </c>
      <c r="E430" s="20" t="s">
        <v>270</v>
      </c>
      <c r="F430" s="20" t="s">
        <v>237</v>
      </c>
      <c r="G430" s="20" t="s">
        <v>218</v>
      </c>
      <c r="H430" s="21">
        <v>-8.93</v>
      </c>
      <c r="I430" s="21">
        <v>1223.5400000000002</v>
      </c>
    </row>
    <row r="431" spans="1:9" x14ac:dyDescent="0.45">
      <c r="B431" s="20" t="s">
        <v>465</v>
      </c>
      <c r="C431" s="20" t="s">
        <v>233</v>
      </c>
      <c r="D431" s="20" t="s">
        <v>607</v>
      </c>
      <c r="E431" s="20" t="s">
        <v>270</v>
      </c>
      <c r="F431" s="20" t="s">
        <v>244</v>
      </c>
      <c r="G431" s="20" t="s">
        <v>218</v>
      </c>
      <c r="H431" s="21">
        <v>-38.17</v>
      </c>
      <c r="I431" s="21">
        <v>1185.3700000000001</v>
      </c>
    </row>
    <row r="432" spans="1:9" x14ac:dyDescent="0.45">
      <c r="B432" s="20" t="s">
        <v>439</v>
      </c>
      <c r="C432" s="20" t="s">
        <v>233</v>
      </c>
      <c r="D432" s="20" t="s">
        <v>234</v>
      </c>
      <c r="E432" s="20" t="s">
        <v>266</v>
      </c>
      <c r="F432" s="20" t="s">
        <v>273</v>
      </c>
      <c r="G432" s="20" t="s">
        <v>218</v>
      </c>
      <c r="H432" s="20"/>
      <c r="I432" s="21">
        <v>1185.3700000000001</v>
      </c>
    </row>
    <row r="433" spans="2:9" x14ac:dyDescent="0.45">
      <c r="B433" s="20" t="s">
        <v>564</v>
      </c>
      <c r="C433" s="20" t="s">
        <v>233</v>
      </c>
      <c r="D433" s="20" t="s">
        <v>234</v>
      </c>
      <c r="E433" s="20" t="s">
        <v>245</v>
      </c>
      <c r="F433" s="20" t="s">
        <v>606</v>
      </c>
      <c r="G433" s="20" t="s">
        <v>199</v>
      </c>
      <c r="H433" s="21">
        <v>257.85000000000002</v>
      </c>
      <c r="I433" s="21">
        <v>1443.2200000000003</v>
      </c>
    </row>
    <row r="434" spans="2:9" x14ac:dyDescent="0.45">
      <c r="B434" s="20" t="s">
        <v>574</v>
      </c>
      <c r="C434" s="20" t="s">
        <v>233</v>
      </c>
      <c r="D434" s="20" t="s">
        <v>295</v>
      </c>
      <c r="E434" s="20" t="s">
        <v>270</v>
      </c>
      <c r="F434" s="20" t="s">
        <v>609</v>
      </c>
      <c r="G434" s="20" t="s">
        <v>218</v>
      </c>
      <c r="H434" s="21">
        <v>595.24</v>
      </c>
      <c r="I434" s="21">
        <v>2038.4600000000003</v>
      </c>
    </row>
    <row r="435" spans="2:9" x14ac:dyDescent="0.45">
      <c r="B435" s="20" t="s">
        <v>574</v>
      </c>
      <c r="C435" s="20" t="s">
        <v>233</v>
      </c>
      <c r="D435" s="20" t="s">
        <v>295</v>
      </c>
      <c r="E435" s="20" t="s">
        <v>270</v>
      </c>
      <c r="F435" s="20" t="s">
        <v>237</v>
      </c>
      <c r="G435" s="20" t="s">
        <v>218</v>
      </c>
      <c r="H435" s="21">
        <v>-8.6300000000000008</v>
      </c>
      <c r="I435" s="21">
        <v>2029.8300000000002</v>
      </c>
    </row>
    <row r="436" spans="2:9" x14ac:dyDescent="0.45">
      <c r="B436" s="20" t="s">
        <v>574</v>
      </c>
      <c r="C436" s="20" t="s">
        <v>233</v>
      </c>
      <c r="D436" s="20" t="s">
        <v>295</v>
      </c>
      <c r="E436" s="20" t="s">
        <v>270</v>
      </c>
      <c r="F436" s="20" t="s">
        <v>244</v>
      </c>
      <c r="G436" s="20" t="s">
        <v>218</v>
      </c>
      <c r="H436" s="21">
        <v>-36.9</v>
      </c>
      <c r="I436" s="21">
        <v>1992.93</v>
      </c>
    </row>
    <row r="437" spans="2:9" x14ac:dyDescent="0.45">
      <c r="B437" s="20" t="s">
        <v>565</v>
      </c>
      <c r="C437" s="20" t="s">
        <v>233</v>
      </c>
      <c r="D437" s="20" t="s">
        <v>284</v>
      </c>
      <c r="E437" s="20" t="s">
        <v>266</v>
      </c>
      <c r="F437" s="20" t="s">
        <v>273</v>
      </c>
      <c r="G437" s="20" t="s">
        <v>218</v>
      </c>
      <c r="H437" s="20"/>
      <c r="I437" s="21">
        <v>1992.93</v>
      </c>
    </row>
    <row r="438" spans="2:9" x14ac:dyDescent="0.45">
      <c r="B438" s="20" t="s">
        <v>565</v>
      </c>
      <c r="C438" s="20" t="s">
        <v>233</v>
      </c>
      <c r="D438" s="20" t="s">
        <v>234</v>
      </c>
      <c r="E438" s="20" t="s">
        <v>245</v>
      </c>
      <c r="F438" s="20" t="s">
        <v>272</v>
      </c>
      <c r="G438" s="20" t="s">
        <v>199</v>
      </c>
      <c r="H438" s="21">
        <v>247.17</v>
      </c>
      <c r="I438" s="21">
        <v>2240.1</v>
      </c>
    </row>
    <row r="439" spans="2:9" x14ac:dyDescent="0.45">
      <c r="B439" s="20" t="s">
        <v>566</v>
      </c>
      <c r="C439" s="20" t="s">
        <v>233</v>
      </c>
      <c r="D439" s="20" t="s">
        <v>284</v>
      </c>
      <c r="E439" s="20" t="s">
        <v>270</v>
      </c>
      <c r="F439" s="20" t="s">
        <v>610</v>
      </c>
      <c r="G439" s="20" t="s">
        <v>218</v>
      </c>
      <c r="H439" s="21">
        <v>188.24</v>
      </c>
      <c r="I439" s="21">
        <v>2428.34</v>
      </c>
    </row>
    <row r="440" spans="2:9" x14ac:dyDescent="0.45">
      <c r="B440" s="20" t="s">
        <v>566</v>
      </c>
      <c r="C440" s="20" t="s">
        <v>233</v>
      </c>
      <c r="D440" s="20" t="s">
        <v>284</v>
      </c>
      <c r="E440" s="20" t="s">
        <v>270</v>
      </c>
      <c r="F440" s="20" t="s">
        <v>237</v>
      </c>
      <c r="G440" s="20" t="s">
        <v>218</v>
      </c>
      <c r="H440" s="21">
        <v>-2.73</v>
      </c>
      <c r="I440" s="21">
        <v>2425.61</v>
      </c>
    </row>
    <row r="441" spans="2:9" x14ac:dyDescent="0.45">
      <c r="B441" s="20" t="s">
        <v>566</v>
      </c>
      <c r="C441" s="20" t="s">
        <v>233</v>
      </c>
      <c r="D441" s="20" t="s">
        <v>284</v>
      </c>
      <c r="E441" s="20" t="s">
        <v>270</v>
      </c>
      <c r="F441" s="20" t="s">
        <v>244</v>
      </c>
      <c r="G441" s="20" t="s">
        <v>218</v>
      </c>
      <c r="H441" s="21">
        <v>-11.67</v>
      </c>
      <c r="I441" s="21">
        <v>2413.94</v>
      </c>
    </row>
    <row r="442" spans="2:9" x14ac:dyDescent="0.45">
      <c r="B442" s="20" t="s">
        <v>570</v>
      </c>
      <c r="C442" s="20" t="s">
        <v>233</v>
      </c>
      <c r="D442" s="20" t="s">
        <v>234</v>
      </c>
      <c r="E442" s="20" t="s">
        <v>245</v>
      </c>
      <c r="F442" s="20" t="s">
        <v>606</v>
      </c>
      <c r="G442" s="20" t="s">
        <v>199</v>
      </c>
      <c r="H442" s="21">
        <v>259.49</v>
      </c>
      <c r="I442" s="21">
        <v>2673.4300000000003</v>
      </c>
    </row>
    <row r="443" spans="2:9" x14ac:dyDescent="0.45">
      <c r="B443" s="20" t="s">
        <v>570</v>
      </c>
      <c r="C443" s="20" t="s">
        <v>233</v>
      </c>
      <c r="D443" s="20" t="s">
        <v>234</v>
      </c>
      <c r="E443" s="20" t="s">
        <v>266</v>
      </c>
      <c r="F443" s="20" t="s">
        <v>273</v>
      </c>
      <c r="G443" s="20" t="s">
        <v>218</v>
      </c>
      <c r="H443" s="20"/>
      <c r="I443" s="21">
        <v>2673.4300000000003</v>
      </c>
    </row>
    <row r="444" spans="2:9" x14ac:dyDescent="0.45">
      <c r="B444" s="20" t="s">
        <v>577</v>
      </c>
      <c r="C444" s="20" t="s">
        <v>233</v>
      </c>
      <c r="D444" s="20" t="s">
        <v>284</v>
      </c>
      <c r="E444" s="20" t="s">
        <v>270</v>
      </c>
      <c r="F444" s="20" t="s">
        <v>611</v>
      </c>
      <c r="G444" s="20" t="s">
        <v>218</v>
      </c>
      <c r="H444" s="21">
        <v>417.18</v>
      </c>
      <c r="I444" s="21">
        <v>3090.61</v>
      </c>
    </row>
    <row r="445" spans="2:9" x14ac:dyDescent="0.45">
      <c r="B445" s="20" t="s">
        <v>577</v>
      </c>
      <c r="C445" s="20" t="s">
        <v>233</v>
      </c>
      <c r="D445" s="20" t="s">
        <v>284</v>
      </c>
      <c r="E445" s="20" t="s">
        <v>270</v>
      </c>
      <c r="F445" s="20" t="s">
        <v>237</v>
      </c>
      <c r="G445" s="20" t="s">
        <v>218</v>
      </c>
      <c r="H445" s="21">
        <v>-6.05</v>
      </c>
      <c r="I445" s="21">
        <v>3084.56</v>
      </c>
    </row>
    <row r="446" spans="2:9" x14ac:dyDescent="0.45">
      <c r="B446" s="20" t="s">
        <v>577</v>
      </c>
      <c r="C446" s="20" t="s">
        <v>233</v>
      </c>
      <c r="D446" s="20" t="s">
        <v>284</v>
      </c>
      <c r="E446" s="20" t="s">
        <v>270</v>
      </c>
      <c r="F446" s="20" t="s">
        <v>244</v>
      </c>
      <c r="G446" s="20" t="s">
        <v>218</v>
      </c>
      <c r="H446" s="21">
        <v>-25.86</v>
      </c>
      <c r="I446" s="21">
        <v>3058.7</v>
      </c>
    </row>
    <row r="447" spans="2:9" x14ac:dyDescent="0.45">
      <c r="B447" s="20" t="s">
        <v>571</v>
      </c>
      <c r="C447" s="20" t="s">
        <v>233</v>
      </c>
      <c r="D447" s="20" t="s">
        <v>234</v>
      </c>
      <c r="E447" s="20" t="s">
        <v>266</v>
      </c>
      <c r="F447" s="20" t="s">
        <v>273</v>
      </c>
      <c r="G447" s="20" t="s">
        <v>218</v>
      </c>
      <c r="H447" s="20"/>
      <c r="I447" s="21">
        <v>3058.7</v>
      </c>
    </row>
    <row r="448" spans="2:9" x14ac:dyDescent="0.45">
      <c r="B448" s="20" t="s">
        <v>571</v>
      </c>
      <c r="C448" s="20" t="s">
        <v>233</v>
      </c>
      <c r="D448" s="20" t="s">
        <v>234</v>
      </c>
      <c r="E448" s="20" t="s">
        <v>245</v>
      </c>
      <c r="F448" s="20" t="s">
        <v>272</v>
      </c>
      <c r="G448" s="20" t="s">
        <v>199</v>
      </c>
      <c r="H448" s="21">
        <v>352.08</v>
      </c>
      <c r="I448" s="21">
        <v>3410.7799999999997</v>
      </c>
    </row>
    <row r="449" spans="1:9" x14ac:dyDescent="0.45">
      <c r="B449" s="20" t="s">
        <v>579</v>
      </c>
      <c r="C449" s="20" t="s">
        <v>233</v>
      </c>
      <c r="D449" s="20" t="s">
        <v>234</v>
      </c>
      <c r="E449" s="20" t="s">
        <v>270</v>
      </c>
      <c r="F449" s="20" t="s">
        <v>612</v>
      </c>
      <c r="G449" s="20" t="s">
        <v>218</v>
      </c>
      <c r="H449" s="21">
        <v>223.85</v>
      </c>
      <c r="I449" s="21">
        <v>3634.6299999999997</v>
      </c>
    </row>
    <row r="450" spans="1:9" x14ac:dyDescent="0.45">
      <c r="B450" s="20" t="s">
        <v>579</v>
      </c>
      <c r="C450" s="20" t="s">
        <v>233</v>
      </c>
      <c r="D450" s="20" t="s">
        <v>234</v>
      </c>
      <c r="E450" s="20" t="s">
        <v>270</v>
      </c>
      <c r="F450" s="20" t="s">
        <v>237</v>
      </c>
      <c r="G450" s="20" t="s">
        <v>218</v>
      </c>
      <c r="H450" s="21">
        <v>-3.25</v>
      </c>
      <c r="I450" s="21">
        <v>3631.3799999999997</v>
      </c>
    </row>
    <row r="451" spans="1:9" x14ac:dyDescent="0.45">
      <c r="B451" s="20" t="s">
        <v>579</v>
      </c>
      <c r="C451" s="20" t="s">
        <v>233</v>
      </c>
      <c r="D451" s="20" t="s">
        <v>234</v>
      </c>
      <c r="E451" s="20" t="s">
        <v>270</v>
      </c>
      <c r="F451" s="20" t="s">
        <v>244</v>
      </c>
      <c r="G451" s="20" t="s">
        <v>218</v>
      </c>
      <c r="H451" s="21">
        <v>-13.88</v>
      </c>
      <c r="I451" s="21">
        <v>3617.4999999999995</v>
      </c>
    </row>
    <row r="452" spans="1:9" x14ac:dyDescent="0.45">
      <c r="B452" s="20" t="s">
        <v>232</v>
      </c>
      <c r="C452" s="20" t="s">
        <v>233</v>
      </c>
      <c r="D452" s="20" t="s">
        <v>234</v>
      </c>
      <c r="E452" s="20" t="s">
        <v>270</v>
      </c>
      <c r="F452" s="20" t="s">
        <v>271</v>
      </c>
      <c r="G452" s="20" t="s">
        <v>218</v>
      </c>
      <c r="H452" s="21">
        <v>152.63</v>
      </c>
      <c r="I452" s="21">
        <v>3770.1299999999997</v>
      </c>
    </row>
    <row r="453" spans="1:9" x14ac:dyDescent="0.45">
      <c r="B453" s="20" t="s">
        <v>232</v>
      </c>
      <c r="C453" s="20" t="s">
        <v>233</v>
      </c>
      <c r="D453" s="20" t="s">
        <v>234</v>
      </c>
      <c r="E453" s="20" t="s">
        <v>270</v>
      </c>
      <c r="F453" s="20" t="s">
        <v>237</v>
      </c>
      <c r="G453" s="20" t="s">
        <v>218</v>
      </c>
      <c r="H453" s="21">
        <v>-2.21</v>
      </c>
      <c r="I453" s="21">
        <v>3767.9199999999996</v>
      </c>
    </row>
    <row r="454" spans="1:9" x14ac:dyDescent="0.45">
      <c r="B454" s="20" t="s">
        <v>232</v>
      </c>
      <c r="C454" s="20" t="s">
        <v>233</v>
      </c>
      <c r="D454" s="20" t="s">
        <v>234</v>
      </c>
      <c r="E454" s="20" t="s">
        <v>270</v>
      </c>
      <c r="F454" s="20" t="s">
        <v>244</v>
      </c>
      <c r="G454" s="20" t="s">
        <v>218</v>
      </c>
      <c r="H454" s="21">
        <v>-9.4600000000000009</v>
      </c>
      <c r="I454" s="21">
        <v>3758.4599999999996</v>
      </c>
    </row>
    <row r="455" spans="1:9" x14ac:dyDescent="0.45">
      <c r="B455" s="20" t="s">
        <v>232</v>
      </c>
      <c r="C455" s="20" t="s">
        <v>233</v>
      </c>
      <c r="D455" s="20" t="s">
        <v>234</v>
      </c>
      <c r="E455" s="20" t="s">
        <v>245</v>
      </c>
      <c r="F455" s="20" t="s">
        <v>272</v>
      </c>
      <c r="G455" s="20" t="s">
        <v>199</v>
      </c>
      <c r="H455" s="21">
        <v>183.42</v>
      </c>
      <c r="I455" s="21">
        <v>3941.8799999999997</v>
      </c>
    </row>
    <row r="456" spans="1:9" x14ac:dyDescent="0.45">
      <c r="B456" s="20" t="s">
        <v>265</v>
      </c>
      <c r="C456" s="20" t="s">
        <v>233</v>
      </c>
      <c r="D456" s="20" t="s">
        <v>234</v>
      </c>
      <c r="E456" s="20" t="s">
        <v>266</v>
      </c>
      <c r="F456" s="20" t="s">
        <v>273</v>
      </c>
      <c r="G456" s="20" t="s">
        <v>218</v>
      </c>
      <c r="H456" s="20"/>
      <c r="I456" s="21">
        <v>3941.8799999999997</v>
      </c>
    </row>
    <row r="457" spans="1:9" x14ac:dyDescent="0.45">
      <c r="B457" s="20" t="s">
        <v>213</v>
      </c>
      <c r="C457" s="20" t="s">
        <v>233</v>
      </c>
      <c r="D457" s="20" t="s">
        <v>234</v>
      </c>
      <c r="E457" s="20" t="s">
        <v>245</v>
      </c>
      <c r="F457" s="20" t="s">
        <v>272</v>
      </c>
      <c r="G457" s="20" t="s">
        <v>199</v>
      </c>
      <c r="H457" s="21">
        <v>187.02</v>
      </c>
      <c r="I457" s="21">
        <v>4128.8999999999996</v>
      </c>
    </row>
    <row r="458" spans="1:9" x14ac:dyDescent="0.45">
      <c r="B458" s="20" t="s">
        <v>213</v>
      </c>
      <c r="C458" s="20" t="s">
        <v>233</v>
      </c>
      <c r="D458" s="20" t="s">
        <v>234</v>
      </c>
      <c r="E458" s="20" t="s">
        <v>266</v>
      </c>
      <c r="F458" s="20" t="s">
        <v>273</v>
      </c>
      <c r="G458" s="20" t="s">
        <v>218</v>
      </c>
      <c r="H458" s="20"/>
      <c r="I458" s="21">
        <v>4128.8999999999996</v>
      </c>
    </row>
    <row r="459" spans="1:9" x14ac:dyDescent="0.45">
      <c r="A459" s="27" t="s">
        <v>274</v>
      </c>
      <c r="H459" s="22">
        <f>H424+H425+H426+H427+H428+H429+H430+H431+H432+H433+H434+H435+H436+H437+H438+H439+H440+H441+H442+H443+H444+H445+H446+H447+H448+H449+H450+H451+H452+H453+H454+H455+H456+H457+H458</f>
        <v>4128.8999999999996</v>
      </c>
    </row>
    <row r="460" spans="1:9" x14ac:dyDescent="0.45">
      <c r="A460" s="17" t="s">
        <v>275</v>
      </c>
      <c r="H460" s="22">
        <f>H404+H407+H422+H459</f>
        <v>20722.660000000003</v>
      </c>
    </row>
    <row r="461" spans="1:9" x14ac:dyDescent="0.45">
      <c r="A461" s="7" t="s">
        <v>58</v>
      </c>
    </row>
    <row r="462" spans="1:9" x14ac:dyDescent="0.45">
      <c r="A462" s="7" t="s">
        <v>59</v>
      </c>
    </row>
    <row r="463" spans="1:9" x14ac:dyDescent="0.45">
      <c r="B463" s="20" t="s">
        <v>540</v>
      </c>
      <c r="C463" s="20" t="s">
        <v>233</v>
      </c>
      <c r="D463" s="20" t="s">
        <v>613</v>
      </c>
      <c r="E463" s="20" t="s">
        <v>614</v>
      </c>
      <c r="F463" s="20" t="s">
        <v>615</v>
      </c>
      <c r="G463" s="20" t="s">
        <v>218</v>
      </c>
      <c r="H463" s="21">
        <v>337.5</v>
      </c>
      <c r="I463" s="21">
        <v>337.5</v>
      </c>
    </row>
    <row r="464" spans="1:9" x14ac:dyDescent="0.45">
      <c r="B464" s="20" t="s">
        <v>540</v>
      </c>
      <c r="C464" s="20" t="s">
        <v>233</v>
      </c>
      <c r="D464" s="20" t="s">
        <v>616</v>
      </c>
      <c r="E464" s="20" t="s">
        <v>617</v>
      </c>
      <c r="F464" s="20" t="s">
        <v>615</v>
      </c>
      <c r="G464" s="20" t="s">
        <v>218</v>
      </c>
      <c r="H464" s="21">
        <v>270.38</v>
      </c>
      <c r="I464" s="21">
        <v>607.88</v>
      </c>
    </row>
    <row r="465" spans="1:9" x14ac:dyDescent="0.45">
      <c r="B465" s="20" t="s">
        <v>540</v>
      </c>
      <c r="C465" s="20" t="s">
        <v>233</v>
      </c>
      <c r="D465" s="20" t="s">
        <v>618</v>
      </c>
      <c r="E465" s="20" t="s">
        <v>619</v>
      </c>
      <c r="F465" s="20" t="s">
        <v>615</v>
      </c>
      <c r="G465" s="20" t="s">
        <v>218</v>
      </c>
      <c r="H465" s="21">
        <v>200.85</v>
      </c>
      <c r="I465" s="21">
        <v>808.73</v>
      </c>
    </row>
    <row r="466" spans="1:9" x14ac:dyDescent="0.45">
      <c r="B466" s="20" t="s">
        <v>540</v>
      </c>
      <c r="C466" s="20" t="s">
        <v>233</v>
      </c>
      <c r="D466" s="20" t="s">
        <v>620</v>
      </c>
      <c r="E466" s="20" t="s">
        <v>621</v>
      </c>
      <c r="F466" s="20" t="s">
        <v>615</v>
      </c>
      <c r="G466" s="20" t="s">
        <v>218</v>
      </c>
      <c r="H466" s="21">
        <v>139.05000000000001</v>
      </c>
      <c r="I466" s="21">
        <v>947.78</v>
      </c>
    </row>
    <row r="467" spans="1:9" x14ac:dyDescent="0.45">
      <c r="B467" s="20" t="s">
        <v>540</v>
      </c>
      <c r="C467" s="20" t="s">
        <v>233</v>
      </c>
      <c r="D467" s="20" t="s">
        <v>622</v>
      </c>
      <c r="E467" s="20" t="s">
        <v>623</v>
      </c>
      <c r="F467" s="20" t="s">
        <v>615</v>
      </c>
      <c r="G467" s="20" t="s">
        <v>218</v>
      </c>
      <c r="H467" s="21">
        <v>150.63999999999999</v>
      </c>
      <c r="I467" s="21">
        <v>1098.42</v>
      </c>
    </row>
    <row r="468" spans="1:9" x14ac:dyDescent="0.45">
      <c r="B468" s="20" t="s">
        <v>540</v>
      </c>
      <c r="C468" s="20" t="s">
        <v>233</v>
      </c>
      <c r="D468" s="20" t="s">
        <v>624</v>
      </c>
      <c r="E468" s="20" t="s">
        <v>625</v>
      </c>
      <c r="F468" s="20" t="s">
        <v>615</v>
      </c>
      <c r="G468" s="20" t="s">
        <v>218</v>
      </c>
      <c r="H468" s="21">
        <v>139.05000000000001</v>
      </c>
      <c r="I468" s="21">
        <v>1237.47</v>
      </c>
    </row>
    <row r="469" spans="1:9" x14ac:dyDescent="0.45">
      <c r="B469" s="20" t="s">
        <v>540</v>
      </c>
      <c r="C469" s="20" t="s">
        <v>233</v>
      </c>
      <c r="D469" s="20" t="s">
        <v>626</v>
      </c>
      <c r="E469" s="20" t="s">
        <v>627</v>
      </c>
      <c r="F469" s="20" t="s">
        <v>615</v>
      </c>
      <c r="G469" s="20" t="s">
        <v>218</v>
      </c>
      <c r="H469" s="21">
        <v>309</v>
      </c>
      <c r="I469" s="21">
        <v>1546.47</v>
      </c>
    </row>
    <row r="470" spans="1:9" x14ac:dyDescent="0.45">
      <c r="B470" s="20" t="s">
        <v>540</v>
      </c>
      <c r="C470" s="20" t="s">
        <v>233</v>
      </c>
      <c r="D470" s="20" t="s">
        <v>628</v>
      </c>
      <c r="E470" s="20" t="s">
        <v>629</v>
      </c>
      <c r="F470" s="20" t="s">
        <v>615</v>
      </c>
      <c r="G470" s="20" t="s">
        <v>218</v>
      </c>
      <c r="H470" s="21">
        <v>142.91</v>
      </c>
      <c r="I470" s="21">
        <v>1689.38</v>
      </c>
    </row>
    <row r="471" spans="1:9" x14ac:dyDescent="0.45">
      <c r="B471" s="20" t="s">
        <v>540</v>
      </c>
      <c r="C471" s="20" t="s">
        <v>233</v>
      </c>
      <c r="D471" s="20" t="s">
        <v>630</v>
      </c>
      <c r="E471" s="20" t="s">
        <v>631</v>
      </c>
      <c r="F471" s="20" t="s">
        <v>615</v>
      </c>
      <c r="G471" s="20" t="s">
        <v>218</v>
      </c>
      <c r="H471" s="21">
        <v>251.06</v>
      </c>
      <c r="I471" s="21">
        <v>1940.44</v>
      </c>
    </row>
    <row r="472" spans="1:9" x14ac:dyDescent="0.45">
      <c r="B472" s="20" t="s">
        <v>540</v>
      </c>
      <c r="C472" s="20" t="s">
        <v>233</v>
      </c>
      <c r="D472" s="20" t="s">
        <v>632</v>
      </c>
      <c r="E472" s="20" t="s">
        <v>633</v>
      </c>
      <c r="F472" s="20" t="s">
        <v>615</v>
      </c>
      <c r="G472" s="20" t="s">
        <v>218</v>
      </c>
      <c r="H472" s="21">
        <v>266.51</v>
      </c>
      <c r="I472" s="21">
        <v>2206.9499999999998</v>
      </c>
    </row>
    <row r="473" spans="1:9" x14ac:dyDescent="0.45">
      <c r="B473" s="20" t="s">
        <v>540</v>
      </c>
      <c r="C473" s="20" t="s">
        <v>233</v>
      </c>
      <c r="D473" s="20" t="s">
        <v>634</v>
      </c>
      <c r="E473" s="20" t="s">
        <v>635</v>
      </c>
      <c r="F473" s="20" t="s">
        <v>615</v>
      </c>
      <c r="G473" s="20" t="s">
        <v>218</v>
      </c>
      <c r="H473" s="21">
        <v>239.48</v>
      </c>
      <c r="I473" s="21">
        <v>2446.4299999999998</v>
      </c>
    </row>
    <row r="474" spans="1:9" x14ac:dyDescent="0.45">
      <c r="B474" s="20" t="s">
        <v>540</v>
      </c>
      <c r="C474" s="20" t="s">
        <v>233</v>
      </c>
      <c r="D474" s="20" t="s">
        <v>636</v>
      </c>
      <c r="E474" s="20" t="s">
        <v>637</v>
      </c>
      <c r="F474" s="20" t="s">
        <v>615</v>
      </c>
      <c r="G474" s="20" t="s">
        <v>218</v>
      </c>
      <c r="H474" s="21">
        <v>254.93</v>
      </c>
      <c r="I474" s="21">
        <v>2701.3599999999997</v>
      </c>
    </row>
    <row r="475" spans="1:9" x14ac:dyDescent="0.45">
      <c r="B475" s="20" t="s">
        <v>540</v>
      </c>
      <c r="C475" s="20" t="s">
        <v>233</v>
      </c>
      <c r="D475" s="20" t="s">
        <v>638</v>
      </c>
      <c r="E475" s="20" t="s">
        <v>639</v>
      </c>
      <c r="F475" s="20" t="s">
        <v>615</v>
      </c>
      <c r="G475" s="20" t="s">
        <v>218</v>
      </c>
      <c r="H475" s="21">
        <v>471.12</v>
      </c>
      <c r="I475" s="21">
        <v>3172.4799999999996</v>
      </c>
    </row>
    <row r="476" spans="1:9" x14ac:dyDescent="0.45">
      <c r="A476" s="27" t="s">
        <v>640</v>
      </c>
      <c r="H476" s="22">
        <f>H463+H464+H465+H466+H467+H468+H469+H470+H471+H472+H473+H474+H475</f>
        <v>3172.4799999999996</v>
      </c>
    </row>
    <row r="477" spans="1:9" x14ac:dyDescent="0.45">
      <c r="A477" s="7" t="s">
        <v>60</v>
      </c>
    </row>
    <row r="478" spans="1:9" x14ac:dyDescent="0.45">
      <c r="B478" s="20" t="s">
        <v>435</v>
      </c>
      <c r="C478" s="20" t="s">
        <v>233</v>
      </c>
      <c r="D478" s="20" t="s">
        <v>641</v>
      </c>
      <c r="E478" s="20" t="s">
        <v>642</v>
      </c>
      <c r="F478" s="20" t="s">
        <v>643</v>
      </c>
      <c r="G478" s="20" t="s">
        <v>218</v>
      </c>
      <c r="H478" s="21">
        <v>59.8</v>
      </c>
      <c r="I478" s="21">
        <v>59.8</v>
      </c>
    </row>
    <row r="479" spans="1:9" x14ac:dyDescent="0.45">
      <c r="A479" s="27" t="s">
        <v>644</v>
      </c>
      <c r="H479" s="22">
        <f>H478</f>
        <v>59.8</v>
      </c>
    </row>
    <row r="480" spans="1:9" x14ac:dyDescent="0.45">
      <c r="A480" s="7" t="s">
        <v>61</v>
      </c>
    </row>
    <row r="481" spans="1:9" x14ac:dyDescent="0.45">
      <c r="B481" s="20" t="s">
        <v>464</v>
      </c>
      <c r="C481" s="20" t="s">
        <v>233</v>
      </c>
      <c r="D481" s="20" t="s">
        <v>234</v>
      </c>
      <c r="E481" s="20" t="s">
        <v>214</v>
      </c>
      <c r="F481" s="20" t="s">
        <v>645</v>
      </c>
      <c r="G481" s="20" t="s">
        <v>218</v>
      </c>
      <c r="H481" s="21">
        <v>78</v>
      </c>
      <c r="I481" s="21">
        <v>78</v>
      </c>
    </row>
    <row r="482" spans="1:9" x14ac:dyDescent="0.45">
      <c r="B482" s="20" t="s">
        <v>574</v>
      </c>
      <c r="C482" s="20" t="s">
        <v>233</v>
      </c>
      <c r="D482" s="20" t="s">
        <v>295</v>
      </c>
      <c r="E482" s="20" t="s">
        <v>261</v>
      </c>
      <c r="F482" s="20" t="s">
        <v>408</v>
      </c>
      <c r="G482" s="20" t="s">
        <v>218</v>
      </c>
      <c r="H482" s="21">
        <v>41.34</v>
      </c>
      <c r="I482" s="21">
        <v>119.34</v>
      </c>
    </row>
    <row r="483" spans="1:9" x14ac:dyDescent="0.45">
      <c r="B483" s="20" t="s">
        <v>585</v>
      </c>
      <c r="C483" s="20" t="s">
        <v>233</v>
      </c>
      <c r="D483" s="20" t="s">
        <v>646</v>
      </c>
      <c r="E483" s="20" t="s">
        <v>647</v>
      </c>
      <c r="F483" s="20" t="s">
        <v>648</v>
      </c>
      <c r="G483" s="20" t="s">
        <v>218</v>
      </c>
      <c r="H483" s="21">
        <v>576.01</v>
      </c>
      <c r="I483" s="21">
        <v>695.35</v>
      </c>
    </row>
    <row r="484" spans="1:9" x14ac:dyDescent="0.45">
      <c r="B484" s="20" t="s">
        <v>649</v>
      </c>
      <c r="C484" s="20" t="s">
        <v>233</v>
      </c>
      <c r="D484" s="20" t="s">
        <v>284</v>
      </c>
      <c r="E484" s="20" t="s">
        <v>214</v>
      </c>
      <c r="F484" s="20" t="s">
        <v>650</v>
      </c>
      <c r="G484" s="20" t="s">
        <v>218</v>
      </c>
      <c r="H484" s="21">
        <v>41.34</v>
      </c>
      <c r="I484" s="21">
        <v>736.69</v>
      </c>
    </row>
    <row r="485" spans="1:9" x14ac:dyDescent="0.45">
      <c r="B485" s="20" t="s">
        <v>651</v>
      </c>
      <c r="C485" s="20" t="s">
        <v>233</v>
      </c>
      <c r="D485" s="20" t="s">
        <v>234</v>
      </c>
      <c r="E485" s="20" t="s">
        <v>214</v>
      </c>
      <c r="F485" s="20" t="s">
        <v>301</v>
      </c>
      <c r="G485" s="20" t="s">
        <v>218</v>
      </c>
      <c r="H485" s="21">
        <v>85</v>
      </c>
      <c r="I485" s="21">
        <v>821.69</v>
      </c>
    </row>
    <row r="486" spans="1:9" x14ac:dyDescent="0.45">
      <c r="B486" s="20" t="s">
        <v>577</v>
      </c>
      <c r="C486" s="20" t="s">
        <v>233</v>
      </c>
      <c r="D486" s="20" t="s">
        <v>284</v>
      </c>
      <c r="E486" s="20" t="s">
        <v>270</v>
      </c>
      <c r="F486" s="20" t="s">
        <v>652</v>
      </c>
      <c r="G486" s="20" t="s">
        <v>218</v>
      </c>
      <c r="H486" s="21">
        <v>179.75</v>
      </c>
      <c r="I486" s="21">
        <v>1001.44</v>
      </c>
    </row>
    <row r="487" spans="1:9" x14ac:dyDescent="0.45">
      <c r="B487" s="20" t="s">
        <v>247</v>
      </c>
      <c r="C487" s="20" t="s">
        <v>233</v>
      </c>
      <c r="D487" s="20" t="s">
        <v>276</v>
      </c>
      <c r="E487" s="20" t="s">
        <v>277</v>
      </c>
      <c r="F487" s="20" t="s">
        <v>278</v>
      </c>
      <c r="G487" s="20" t="s">
        <v>218</v>
      </c>
      <c r="H487" s="21">
        <v>481.56</v>
      </c>
      <c r="I487" s="21">
        <v>1483</v>
      </c>
    </row>
    <row r="488" spans="1:9" x14ac:dyDescent="0.45">
      <c r="A488" s="27" t="s">
        <v>279</v>
      </c>
      <c r="H488" s="22">
        <f>H481+H482+H483+H484+H485+H486+H487</f>
        <v>1483</v>
      </c>
    </row>
    <row r="489" spans="1:9" x14ac:dyDescent="0.45">
      <c r="A489" s="17" t="s">
        <v>280</v>
      </c>
      <c r="H489" s="22">
        <f>H476+H479+H488</f>
        <v>4715.28</v>
      </c>
    </row>
    <row r="490" spans="1:9" x14ac:dyDescent="0.45">
      <c r="A490" s="7" t="s">
        <v>63</v>
      </c>
    </row>
    <row r="491" spans="1:9" x14ac:dyDescent="0.45">
      <c r="A491" s="7" t="s">
        <v>64</v>
      </c>
    </row>
    <row r="492" spans="1:9" x14ac:dyDescent="0.45">
      <c r="B492" s="20" t="s">
        <v>464</v>
      </c>
      <c r="C492" s="20" t="s">
        <v>233</v>
      </c>
      <c r="D492" s="20" t="s">
        <v>234</v>
      </c>
      <c r="E492" s="20" t="s">
        <v>214</v>
      </c>
      <c r="F492" s="20" t="s">
        <v>653</v>
      </c>
      <c r="G492" s="20" t="s">
        <v>218</v>
      </c>
      <c r="H492" s="23">
        <v>0</v>
      </c>
      <c r="I492" s="23">
        <v>0</v>
      </c>
    </row>
    <row r="493" spans="1:9" x14ac:dyDescent="0.45">
      <c r="B493" s="20" t="s">
        <v>654</v>
      </c>
      <c r="C493" s="20" t="s">
        <v>233</v>
      </c>
      <c r="D493" s="20" t="s">
        <v>234</v>
      </c>
      <c r="E493" s="20" t="s">
        <v>214</v>
      </c>
      <c r="F493" s="20" t="s">
        <v>653</v>
      </c>
      <c r="G493" s="20" t="s">
        <v>218</v>
      </c>
      <c r="H493" s="21">
        <v>101</v>
      </c>
      <c r="I493" s="21">
        <v>101</v>
      </c>
    </row>
    <row r="494" spans="1:9" x14ac:dyDescent="0.45">
      <c r="B494" s="20" t="s">
        <v>265</v>
      </c>
      <c r="C494" s="20" t="s">
        <v>233</v>
      </c>
      <c r="D494" s="20" t="s">
        <v>234</v>
      </c>
      <c r="E494" s="20" t="s">
        <v>214</v>
      </c>
      <c r="F494" s="20" t="s">
        <v>281</v>
      </c>
      <c r="G494" s="20" t="s">
        <v>218</v>
      </c>
      <c r="H494" s="21">
        <v>110</v>
      </c>
      <c r="I494" s="21">
        <v>211</v>
      </c>
    </row>
    <row r="495" spans="1:9" x14ac:dyDescent="0.45">
      <c r="A495" s="27" t="s">
        <v>282</v>
      </c>
      <c r="H495" s="22">
        <f>H492+H493+H494</f>
        <v>211</v>
      </c>
    </row>
    <row r="496" spans="1:9" x14ac:dyDescent="0.45">
      <c r="A496" s="7" t="s">
        <v>65</v>
      </c>
    </row>
    <row r="497" spans="1:9" x14ac:dyDescent="0.45">
      <c r="B497" s="20" t="s">
        <v>463</v>
      </c>
      <c r="C497" s="20" t="s">
        <v>233</v>
      </c>
      <c r="D497" s="20" t="s">
        <v>234</v>
      </c>
      <c r="E497" s="20" t="s">
        <v>285</v>
      </c>
      <c r="F497" s="20" t="s">
        <v>655</v>
      </c>
      <c r="G497" s="20" t="s">
        <v>218</v>
      </c>
      <c r="H497" s="21">
        <v>89</v>
      </c>
      <c r="I497" s="21">
        <v>89</v>
      </c>
    </row>
    <row r="498" spans="1:9" x14ac:dyDescent="0.45">
      <c r="B498" s="20" t="s">
        <v>439</v>
      </c>
      <c r="C498" s="20" t="s">
        <v>233</v>
      </c>
      <c r="D498" s="20" t="s">
        <v>284</v>
      </c>
      <c r="E498" s="20" t="s">
        <v>285</v>
      </c>
      <c r="F498" s="20" t="s">
        <v>655</v>
      </c>
      <c r="G498" s="20" t="s">
        <v>218</v>
      </c>
      <c r="H498" s="21">
        <v>89</v>
      </c>
      <c r="I498" s="21">
        <v>178</v>
      </c>
    </row>
    <row r="499" spans="1:9" x14ac:dyDescent="0.45">
      <c r="B499" s="20" t="s">
        <v>565</v>
      </c>
      <c r="C499" s="20" t="s">
        <v>233</v>
      </c>
      <c r="D499" s="20" t="s">
        <v>284</v>
      </c>
      <c r="E499" s="20" t="s">
        <v>285</v>
      </c>
      <c r="F499" s="20" t="s">
        <v>655</v>
      </c>
      <c r="G499" s="20" t="s">
        <v>218</v>
      </c>
      <c r="H499" s="21">
        <v>89</v>
      </c>
      <c r="I499" s="21">
        <v>267</v>
      </c>
    </row>
    <row r="500" spans="1:9" x14ac:dyDescent="0.45">
      <c r="B500" s="20" t="s">
        <v>570</v>
      </c>
      <c r="C500" s="20" t="s">
        <v>233</v>
      </c>
      <c r="D500" s="20" t="s">
        <v>234</v>
      </c>
      <c r="E500" s="20" t="s">
        <v>285</v>
      </c>
      <c r="F500" s="20" t="s">
        <v>655</v>
      </c>
      <c r="G500" s="20" t="s">
        <v>218</v>
      </c>
      <c r="H500" s="21">
        <v>89</v>
      </c>
      <c r="I500" s="21">
        <v>356</v>
      </c>
    </row>
    <row r="501" spans="1:9" x14ac:dyDescent="0.45">
      <c r="B501" s="20" t="s">
        <v>571</v>
      </c>
      <c r="C501" s="20" t="s">
        <v>233</v>
      </c>
      <c r="D501" s="20" t="s">
        <v>284</v>
      </c>
      <c r="E501" s="20" t="s">
        <v>285</v>
      </c>
      <c r="F501" s="20" t="s">
        <v>655</v>
      </c>
      <c r="G501" s="20" t="s">
        <v>218</v>
      </c>
      <c r="H501" s="21">
        <v>89</v>
      </c>
      <c r="I501" s="21">
        <v>445</v>
      </c>
    </row>
    <row r="502" spans="1:9" x14ac:dyDescent="0.45">
      <c r="B502" s="20" t="s">
        <v>283</v>
      </c>
      <c r="C502" s="20" t="s">
        <v>233</v>
      </c>
      <c r="D502" s="20" t="s">
        <v>284</v>
      </c>
      <c r="E502" s="20" t="s">
        <v>285</v>
      </c>
      <c r="F502" s="20" t="s">
        <v>286</v>
      </c>
      <c r="G502" s="20" t="s">
        <v>218</v>
      </c>
      <c r="H502" s="21">
        <v>178</v>
      </c>
      <c r="I502" s="21">
        <v>623</v>
      </c>
    </row>
    <row r="503" spans="1:9" x14ac:dyDescent="0.45">
      <c r="A503" s="27" t="s">
        <v>287</v>
      </c>
      <c r="H503" s="22">
        <f>H497+H498+H499+H500+H501+H502</f>
        <v>623</v>
      </c>
    </row>
    <row r="504" spans="1:9" x14ac:dyDescent="0.45">
      <c r="A504" s="7" t="s">
        <v>66</v>
      </c>
    </row>
    <row r="505" spans="1:9" x14ac:dyDescent="0.45">
      <c r="B505" s="20" t="s">
        <v>463</v>
      </c>
      <c r="C505" s="20" t="s">
        <v>233</v>
      </c>
      <c r="D505" s="20" t="s">
        <v>234</v>
      </c>
      <c r="E505" s="20" t="s">
        <v>291</v>
      </c>
      <c r="F505" s="20" t="s">
        <v>656</v>
      </c>
      <c r="G505" s="20" t="s">
        <v>218</v>
      </c>
      <c r="H505" s="21">
        <v>214.25</v>
      </c>
      <c r="I505" s="21">
        <v>214.25</v>
      </c>
    </row>
    <row r="506" spans="1:9" x14ac:dyDescent="0.45">
      <c r="B506" s="20" t="s">
        <v>439</v>
      </c>
      <c r="C506" s="20" t="s">
        <v>233</v>
      </c>
      <c r="D506" s="20" t="s">
        <v>284</v>
      </c>
      <c r="E506" s="20" t="s">
        <v>291</v>
      </c>
      <c r="F506" s="20" t="s">
        <v>656</v>
      </c>
      <c r="G506" s="20" t="s">
        <v>218</v>
      </c>
      <c r="H506" s="21">
        <v>517.25</v>
      </c>
      <c r="I506" s="21">
        <v>731.5</v>
      </c>
    </row>
    <row r="507" spans="1:9" x14ac:dyDescent="0.45">
      <c r="B507" s="20" t="s">
        <v>585</v>
      </c>
      <c r="C507" s="20" t="s">
        <v>233</v>
      </c>
      <c r="D507" s="20" t="s">
        <v>657</v>
      </c>
      <c r="E507" s="20" t="s">
        <v>289</v>
      </c>
      <c r="F507" s="20" t="s">
        <v>290</v>
      </c>
      <c r="G507" s="20" t="s">
        <v>218</v>
      </c>
      <c r="H507" s="21">
        <v>49.99</v>
      </c>
      <c r="I507" s="21">
        <v>781.49</v>
      </c>
    </row>
    <row r="508" spans="1:9" x14ac:dyDescent="0.45">
      <c r="B508" s="20" t="s">
        <v>565</v>
      </c>
      <c r="C508" s="20" t="s">
        <v>233</v>
      </c>
      <c r="D508" s="20" t="s">
        <v>284</v>
      </c>
      <c r="E508" s="20" t="s">
        <v>291</v>
      </c>
      <c r="F508" s="20" t="s">
        <v>656</v>
      </c>
      <c r="G508" s="20" t="s">
        <v>218</v>
      </c>
      <c r="H508" s="21">
        <v>214.25</v>
      </c>
      <c r="I508" s="21">
        <v>995.74</v>
      </c>
    </row>
    <row r="509" spans="1:9" x14ac:dyDescent="0.45">
      <c r="B509" s="20" t="s">
        <v>540</v>
      </c>
      <c r="C509" s="20" t="s">
        <v>233</v>
      </c>
      <c r="D509" s="20" t="s">
        <v>658</v>
      </c>
      <c r="E509" s="20" t="s">
        <v>289</v>
      </c>
      <c r="F509" s="20" t="s">
        <v>290</v>
      </c>
      <c r="G509" s="20" t="s">
        <v>218</v>
      </c>
      <c r="H509" s="21">
        <v>49.99</v>
      </c>
      <c r="I509" s="21">
        <v>1045.73</v>
      </c>
    </row>
    <row r="510" spans="1:9" x14ac:dyDescent="0.45">
      <c r="B510" s="20" t="s">
        <v>570</v>
      </c>
      <c r="C510" s="20" t="s">
        <v>233</v>
      </c>
      <c r="D510" s="20" t="s">
        <v>234</v>
      </c>
      <c r="E510" s="20" t="s">
        <v>291</v>
      </c>
      <c r="F510" s="20" t="s">
        <v>656</v>
      </c>
      <c r="G510" s="20" t="s">
        <v>218</v>
      </c>
      <c r="H510" s="21">
        <v>214.25</v>
      </c>
      <c r="I510" s="21">
        <v>1259.98</v>
      </c>
    </row>
    <row r="511" spans="1:9" x14ac:dyDescent="0.45">
      <c r="B511" s="20" t="s">
        <v>588</v>
      </c>
      <c r="C511" s="20" t="s">
        <v>233</v>
      </c>
      <c r="D511" s="20" t="s">
        <v>659</v>
      </c>
      <c r="E511" s="20" t="s">
        <v>289</v>
      </c>
      <c r="F511" s="20" t="s">
        <v>290</v>
      </c>
      <c r="G511" s="20" t="s">
        <v>218</v>
      </c>
      <c r="H511" s="21">
        <v>49.99</v>
      </c>
      <c r="I511" s="21">
        <v>1309.97</v>
      </c>
    </row>
    <row r="512" spans="1:9" x14ac:dyDescent="0.45">
      <c r="B512" s="20" t="s">
        <v>571</v>
      </c>
      <c r="C512" s="20" t="s">
        <v>233</v>
      </c>
      <c r="D512" s="20" t="s">
        <v>284</v>
      </c>
      <c r="E512" s="20" t="s">
        <v>291</v>
      </c>
      <c r="F512" s="20" t="s">
        <v>656</v>
      </c>
      <c r="G512" s="20" t="s">
        <v>218</v>
      </c>
      <c r="H512" s="21">
        <v>214.25</v>
      </c>
      <c r="I512" s="21">
        <v>1524.22</v>
      </c>
    </row>
    <row r="513" spans="1:9" x14ac:dyDescent="0.45">
      <c r="B513" s="20" t="s">
        <v>484</v>
      </c>
      <c r="C513" s="20" t="s">
        <v>233</v>
      </c>
      <c r="D513" s="20" t="s">
        <v>660</v>
      </c>
      <c r="E513" s="20" t="s">
        <v>289</v>
      </c>
      <c r="F513" s="20" t="s">
        <v>290</v>
      </c>
      <c r="G513" s="20" t="s">
        <v>218</v>
      </c>
      <c r="H513" s="21">
        <v>49.99</v>
      </c>
      <c r="I513" s="21">
        <v>1574.21</v>
      </c>
    </row>
    <row r="514" spans="1:9" x14ac:dyDescent="0.45">
      <c r="B514" s="20" t="s">
        <v>247</v>
      </c>
      <c r="C514" s="20" t="s">
        <v>233</v>
      </c>
      <c r="D514" s="20" t="s">
        <v>288</v>
      </c>
      <c r="E514" s="20" t="s">
        <v>289</v>
      </c>
      <c r="F514" s="20" t="s">
        <v>290</v>
      </c>
      <c r="G514" s="20" t="s">
        <v>218</v>
      </c>
      <c r="H514" s="21">
        <v>49.99</v>
      </c>
      <c r="I514" s="21">
        <v>1624.2</v>
      </c>
    </row>
    <row r="515" spans="1:9" x14ac:dyDescent="0.45">
      <c r="B515" s="20" t="s">
        <v>283</v>
      </c>
      <c r="C515" s="20" t="s">
        <v>233</v>
      </c>
      <c r="D515" s="20" t="s">
        <v>284</v>
      </c>
      <c r="E515" s="20" t="s">
        <v>291</v>
      </c>
      <c r="F515" s="20" t="s">
        <v>292</v>
      </c>
      <c r="G515" s="20" t="s">
        <v>218</v>
      </c>
      <c r="H515" s="21">
        <v>317.75</v>
      </c>
      <c r="I515" s="21">
        <v>1941.95</v>
      </c>
    </row>
    <row r="516" spans="1:9" x14ac:dyDescent="0.45">
      <c r="B516" s="20" t="s">
        <v>283</v>
      </c>
      <c r="C516" s="20" t="s">
        <v>233</v>
      </c>
      <c r="D516" s="20" t="s">
        <v>284</v>
      </c>
      <c r="E516" s="20" t="s">
        <v>291</v>
      </c>
      <c r="F516" s="20" t="s">
        <v>293</v>
      </c>
      <c r="G516" s="20" t="s">
        <v>218</v>
      </c>
      <c r="H516" s="21">
        <v>214.25</v>
      </c>
      <c r="I516" s="21">
        <v>2156.1999999999998</v>
      </c>
    </row>
    <row r="517" spans="1:9" x14ac:dyDescent="0.45">
      <c r="A517" s="27" t="s">
        <v>294</v>
      </c>
      <c r="H517" s="22">
        <f>H505+H506+H507+H508+H509+H510+H511+H512+H513+H514+H515+H516</f>
        <v>2156.1999999999998</v>
      </c>
    </row>
    <row r="518" spans="1:9" x14ac:dyDescent="0.45">
      <c r="A518" s="7" t="s">
        <v>67</v>
      </c>
    </row>
    <row r="519" spans="1:9" x14ac:dyDescent="0.45">
      <c r="B519" s="20" t="s">
        <v>439</v>
      </c>
      <c r="C519" s="20" t="s">
        <v>233</v>
      </c>
      <c r="D519" s="20" t="s">
        <v>661</v>
      </c>
      <c r="E519" s="20" t="s">
        <v>642</v>
      </c>
      <c r="F519" s="20" t="s">
        <v>662</v>
      </c>
      <c r="G519" s="20" t="s">
        <v>218</v>
      </c>
      <c r="H519" s="21">
        <v>123.46</v>
      </c>
      <c r="I519" s="21">
        <v>123.46</v>
      </c>
    </row>
    <row r="520" spans="1:9" x14ac:dyDescent="0.45">
      <c r="B520" s="20" t="s">
        <v>585</v>
      </c>
      <c r="C520" s="20" t="s">
        <v>233</v>
      </c>
      <c r="D520" s="20" t="s">
        <v>663</v>
      </c>
      <c r="E520" s="20" t="s">
        <v>642</v>
      </c>
      <c r="F520" s="20" t="s">
        <v>662</v>
      </c>
      <c r="G520" s="20" t="s">
        <v>218</v>
      </c>
      <c r="H520" s="23">
        <v>0</v>
      </c>
      <c r="I520" s="21">
        <v>123.46</v>
      </c>
    </row>
    <row r="521" spans="1:9" x14ac:dyDescent="0.45">
      <c r="B521" s="20" t="s">
        <v>484</v>
      </c>
      <c r="C521" s="20" t="s">
        <v>233</v>
      </c>
      <c r="D521" s="20" t="s">
        <v>664</v>
      </c>
      <c r="E521" s="20" t="s">
        <v>642</v>
      </c>
      <c r="F521" s="20" t="s">
        <v>665</v>
      </c>
      <c r="G521" s="20" t="s">
        <v>218</v>
      </c>
      <c r="H521" s="21">
        <v>972.38</v>
      </c>
      <c r="I521" s="21">
        <v>1095.8399999999999</v>
      </c>
    </row>
    <row r="522" spans="1:9" x14ac:dyDescent="0.45">
      <c r="A522" s="27" t="s">
        <v>666</v>
      </c>
      <c r="H522" s="22">
        <f>H519+H520+H521</f>
        <v>1095.8399999999999</v>
      </c>
    </row>
    <row r="523" spans="1:9" x14ac:dyDescent="0.45">
      <c r="A523" s="7" t="s">
        <v>68</v>
      </c>
    </row>
    <row r="524" spans="1:9" x14ac:dyDescent="0.45">
      <c r="B524" s="20" t="s">
        <v>555</v>
      </c>
      <c r="C524" s="20" t="s">
        <v>233</v>
      </c>
      <c r="D524" s="20" t="s">
        <v>295</v>
      </c>
      <c r="E524" s="20" t="s">
        <v>296</v>
      </c>
      <c r="F524" s="20" t="s">
        <v>667</v>
      </c>
      <c r="G524" s="20" t="s">
        <v>218</v>
      </c>
      <c r="H524" s="21">
        <v>25.74</v>
      </c>
      <c r="I524" s="21">
        <v>25.74</v>
      </c>
    </row>
    <row r="525" spans="1:9" x14ac:dyDescent="0.45">
      <c r="B525" s="20" t="s">
        <v>435</v>
      </c>
      <c r="C525" s="20" t="s">
        <v>233</v>
      </c>
      <c r="D525" s="20" t="s">
        <v>668</v>
      </c>
      <c r="E525" s="20" t="s">
        <v>0</v>
      </c>
      <c r="F525" s="20" t="s">
        <v>669</v>
      </c>
      <c r="G525" s="20" t="s">
        <v>218</v>
      </c>
      <c r="H525" s="21">
        <v>12</v>
      </c>
      <c r="I525" s="21">
        <v>37.739999999999995</v>
      </c>
    </row>
    <row r="526" spans="1:9" x14ac:dyDescent="0.45">
      <c r="B526" s="20" t="s">
        <v>463</v>
      </c>
      <c r="C526" s="20" t="s">
        <v>233</v>
      </c>
      <c r="D526" s="20" t="s">
        <v>234</v>
      </c>
      <c r="E526" s="20" t="s">
        <v>266</v>
      </c>
      <c r="F526" s="20" t="s">
        <v>670</v>
      </c>
      <c r="G526" s="20" t="s">
        <v>218</v>
      </c>
      <c r="H526" s="21">
        <v>10</v>
      </c>
      <c r="I526" s="21">
        <v>47.739999999999995</v>
      </c>
    </row>
    <row r="527" spans="1:9" x14ac:dyDescent="0.45">
      <c r="B527" s="20" t="s">
        <v>464</v>
      </c>
      <c r="C527" s="20" t="s">
        <v>233</v>
      </c>
      <c r="D527" s="20" t="s">
        <v>234</v>
      </c>
      <c r="E527" s="20" t="s">
        <v>214</v>
      </c>
      <c r="F527" s="20" t="s">
        <v>298</v>
      </c>
      <c r="G527" s="20" t="s">
        <v>218</v>
      </c>
      <c r="H527" s="21">
        <v>115</v>
      </c>
      <c r="I527" s="21">
        <v>162.74</v>
      </c>
    </row>
    <row r="528" spans="1:9" x14ac:dyDescent="0.45">
      <c r="B528" s="20" t="s">
        <v>464</v>
      </c>
      <c r="C528" s="20" t="s">
        <v>233</v>
      </c>
      <c r="D528" s="20" t="s">
        <v>234</v>
      </c>
      <c r="E528" s="20" t="s">
        <v>214</v>
      </c>
      <c r="F528" s="20" t="s">
        <v>671</v>
      </c>
      <c r="G528" s="20" t="s">
        <v>218</v>
      </c>
      <c r="H528" s="23">
        <v>0</v>
      </c>
      <c r="I528" s="21">
        <v>162.74</v>
      </c>
    </row>
    <row r="529" spans="2:9" x14ac:dyDescent="0.45">
      <c r="B529" s="20" t="s">
        <v>654</v>
      </c>
      <c r="C529" s="20" t="s">
        <v>233</v>
      </c>
      <c r="D529" s="20" t="s">
        <v>234</v>
      </c>
      <c r="E529" s="20" t="s">
        <v>214</v>
      </c>
      <c r="F529" s="20" t="s">
        <v>298</v>
      </c>
      <c r="G529" s="20" t="s">
        <v>218</v>
      </c>
      <c r="H529" s="21">
        <v>115</v>
      </c>
      <c r="I529" s="21">
        <v>277.74</v>
      </c>
    </row>
    <row r="530" spans="2:9" x14ac:dyDescent="0.45">
      <c r="B530" s="20" t="s">
        <v>585</v>
      </c>
      <c r="C530" s="20" t="s">
        <v>233</v>
      </c>
      <c r="D530" s="20" t="s">
        <v>672</v>
      </c>
      <c r="E530" s="20" t="s">
        <v>451</v>
      </c>
      <c r="F530" s="20" t="s">
        <v>673</v>
      </c>
      <c r="G530" s="20" t="s">
        <v>218</v>
      </c>
      <c r="H530" s="21">
        <v>25.38</v>
      </c>
      <c r="I530" s="21">
        <v>303.12</v>
      </c>
    </row>
    <row r="531" spans="2:9" x14ac:dyDescent="0.45">
      <c r="B531" s="20" t="s">
        <v>649</v>
      </c>
      <c r="C531" s="20" t="s">
        <v>233</v>
      </c>
      <c r="D531" s="20" t="s">
        <v>284</v>
      </c>
      <c r="E531" s="20" t="s">
        <v>214</v>
      </c>
      <c r="F531" s="20" t="s">
        <v>674</v>
      </c>
      <c r="G531" s="20" t="s">
        <v>218</v>
      </c>
      <c r="H531" s="21">
        <v>115</v>
      </c>
      <c r="I531" s="21">
        <v>418.12</v>
      </c>
    </row>
    <row r="532" spans="2:9" x14ac:dyDescent="0.45">
      <c r="B532" s="20" t="s">
        <v>651</v>
      </c>
      <c r="C532" s="20" t="s">
        <v>233</v>
      </c>
      <c r="D532" s="20" t="s">
        <v>234</v>
      </c>
      <c r="E532" s="20" t="s">
        <v>214</v>
      </c>
      <c r="F532" s="20" t="s">
        <v>298</v>
      </c>
      <c r="G532" s="20" t="s">
        <v>218</v>
      </c>
      <c r="H532" s="21">
        <v>115</v>
      </c>
      <c r="I532" s="21">
        <v>533.12</v>
      </c>
    </row>
    <row r="533" spans="2:9" x14ac:dyDescent="0.45">
      <c r="B533" s="20" t="s">
        <v>651</v>
      </c>
      <c r="C533" s="20" t="s">
        <v>233</v>
      </c>
      <c r="D533" s="20" t="s">
        <v>234</v>
      </c>
      <c r="E533" s="20" t="s">
        <v>214</v>
      </c>
      <c r="F533" s="20" t="s">
        <v>671</v>
      </c>
      <c r="G533" s="20" t="s">
        <v>218</v>
      </c>
      <c r="H533" s="21">
        <v>294.02999999999997</v>
      </c>
      <c r="I533" s="21">
        <v>827.15</v>
      </c>
    </row>
    <row r="534" spans="2:9" x14ac:dyDescent="0.45">
      <c r="B534" s="20" t="s">
        <v>571</v>
      </c>
      <c r="C534" s="20" t="s">
        <v>233</v>
      </c>
      <c r="D534" s="20" t="s">
        <v>284</v>
      </c>
      <c r="E534" s="20" t="s">
        <v>214</v>
      </c>
      <c r="F534" s="20" t="s">
        <v>298</v>
      </c>
      <c r="G534" s="20" t="s">
        <v>218</v>
      </c>
      <c r="H534" s="21">
        <v>115</v>
      </c>
      <c r="I534" s="21">
        <v>942.15</v>
      </c>
    </row>
    <row r="535" spans="2:9" x14ac:dyDescent="0.45">
      <c r="B535" s="20" t="s">
        <v>571</v>
      </c>
      <c r="C535" s="20" t="s">
        <v>233</v>
      </c>
      <c r="D535" s="20" t="s">
        <v>284</v>
      </c>
      <c r="E535" s="20" t="s">
        <v>214</v>
      </c>
      <c r="F535" s="20" t="s">
        <v>175</v>
      </c>
      <c r="G535" s="20" t="s">
        <v>218</v>
      </c>
      <c r="H535" s="21">
        <v>46</v>
      </c>
      <c r="I535" s="21">
        <v>988.15</v>
      </c>
    </row>
    <row r="536" spans="2:9" x14ac:dyDescent="0.45">
      <c r="B536" s="20" t="s">
        <v>571</v>
      </c>
      <c r="C536" s="20" t="s">
        <v>233</v>
      </c>
      <c r="D536" s="20" t="s">
        <v>284</v>
      </c>
      <c r="E536" s="20" t="s">
        <v>214</v>
      </c>
      <c r="F536" s="20" t="s">
        <v>175</v>
      </c>
      <c r="G536" s="20" t="s">
        <v>218</v>
      </c>
      <c r="H536" s="21">
        <v>38.04</v>
      </c>
      <c r="I536" s="21">
        <v>1026.19</v>
      </c>
    </row>
    <row r="537" spans="2:9" x14ac:dyDescent="0.45">
      <c r="B537" s="20" t="s">
        <v>571</v>
      </c>
      <c r="C537" s="20" t="s">
        <v>233</v>
      </c>
      <c r="D537" s="20" t="s">
        <v>284</v>
      </c>
      <c r="E537" s="20" t="s">
        <v>214</v>
      </c>
      <c r="F537" s="20" t="s">
        <v>671</v>
      </c>
      <c r="G537" s="20" t="s">
        <v>218</v>
      </c>
      <c r="H537" s="21">
        <v>417.87</v>
      </c>
      <c r="I537" s="21">
        <v>1444.06</v>
      </c>
    </row>
    <row r="538" spans="2:9" x14ac:dyDescent="0.45">
      <c r="B538" s="20" t="s">
        <v>571</v>
      </c>
      <c r="C538" s="20" t="s">
        <v>233</v>
      </c>
      <c r="D538" s="20" t="s">
        <v>284</v>
      </c>
      <c r="E538" s="20" t="s">
        <v>214</v>
      </c>
      <c r="F538" s="20" t="s">
        <v>675</v>
      </c>
      <c r="G538" s="20" t="s">
        <v>218</v>
      </c>
      <c r="H538" s="21">
        <v>-194.43</v>
      </c>
      <c r="I538" s="21">
        <v>1249.6299999999999</v>
      </c>
    </row>
    <row r="539" spans="2:9" x14ac:dyDescent="0.45">
      <c r="B539" s="20" t="s">
        <v>676</v>
      </c>
      <c r="C539" s="20" t="s">
        <v>233</v>
      </c>
      <c r="D539" s="20" t="s">
        <v>284</v>
      </c>
      <c r="E539" s="20" t="s">
        <v>677</v>
      </c>
      <c r="F539" s="20" t="s">
        <v>678</v>
      </c>
      <c r="G539" s="20" t="s">
        <v>218</v>
      </c>
      <c r="H539" s="21">
        <v>699.82</v>
      </c>
      <c r="I539" s="21">
        <v>1949.4499999999998</v>
      </c>
    </row>
    <row r="540" spans="2:9" x14ac:dyDescent="0.45">
      <c r="B540" s="20" t="s">
        <v>679</v>
      </c>
      <c r="C540" s="20" t="s">
        <v>233</v>
      </c>
      <c r="D540" s="20" t="s">
        <v>234</v>
      </c>
      <c r="E540" s="20" t="s">
        <v>214</v>
      </c>
      <c r="F540" s="20" t="s">
        <v>680</v>
      </c>
      <c r="G540" s="20" t="s">
        <v>218</v>
      </c>
      <c r="H540" s="21">
        <v>396.04</v>
      </c>
      <c r="I540" s="21">
        <v>2345.4899999999998</v>
      </c>
    </row>
    <row r="541" spans="2:9" x14ac:dyDescent="0.45">
      <c r="B541" s="20" t="s">
        <v>679</v>
      </c>
      <c r="C541" s="20" t="s">
        <v>233</v>
      </c>
      <c r="D541" s="20" t="s">
        <v>234</v>
      </c>
      <c r="E541" s="20" t="s">
        <v>214</v>
      </c>
      <c r="F541" s="20" t="s">
        <v>681</v>
      </c>
      <c r="G541" s="20" t="s">
        <v>218</v>
      </c>
      <c r="H541" s="21">
        <v>115</v>
      </c>
      <c r="I541" s="21">
        <v>2460.4899999999998</v>
      </c>
    </row>
    <row r="542" spans="2:9" x14ac:dyDescent="0.45">
      <c r="B542" s="20" t="s">
        <v>232</v>
      </c>
      <c r="C542" s="20" t="s">
        <v>233</v>
      </c>
      <c r="D542" s="20" t="s">
        <v>295</v>
      </c>
      <c r="E542" s="20" t="s">
        <v>296</v>
      </c>
      <c r="F542" s="20" t="s">
        <v>297</v>
      </c>
      <c r="G542" s="20" t="s">
        <v>218</v>
      </c>
      <c r="H542" s="21">
        <v>12.19</v>
      </c>
      <c r="I542" s="21">
        <v>2472.6799999999998</v>
      </c>
    </row>
    <row r="543" spans="2:9" x14ac:dyDescent="0.45">
      <c r="B543" s="20" t="s">
        <v>265</v>
      </c>
      <c r="C543" s="20" t="s">
        <v>233</v>
      </c>
      <c r="D543" s="20" t="s">
        <v>234</v>
      </c>
      <c r="E543" s="20" t="s">
        <v>214</v>
      </c>
      <c r="F543" s="20" t="s">
        <v>298</v>
      </c>
      <c r="G543" s="20" t="s">
        <v>218</v>
      </c>
      <c r="H543" s="21">
        <v>115</v>
      </c>
      <c r="I543" s="21">
        <v>2587.6799999999998</v>
      </c>
    </row>
    <row r="544" spans="2:9" x14ac:dyDescent="0.45">
      <c r="B544" s="20" t="s">
        <v>265</v>
      </c>
      <c r="C544" s="20" t="s">
        <v>233</v>
      </c>
      <c r="D544" s="20" t="s">
        <v>234</v>
      </c>
      <c r="E544" s="20" t="s">
        <v>214</v>
      </c>
      <c r="F544" s="20" t="s">
        <v>299</v>
      </c>
      <c r="G544" s="20" t="s">
        <v>218</v>
      </c>
      <c r="H544" s="21">
        <v>72.239999999999995</v>
      </c>
      <c r="I544" s="21">
        <v>2659.9199999999996</v>
      </c>
    </row>
    <row r="545" spans="1:9" x14ac:dyDescent="0.45">
      <c r="A545" s="27" t="s">
        <v>300</v>
      </c>
      <c r="H545" s="22">
        <f>H524+H525+H526+H527+H528+H529+H530+H531+H532+H533+H534+H535+H536+H537+H538+H539+H540+H541+H542+H543+H544</f>
        <v>2659.9199999999996</v>
      </c>
    </row>
    <row r="546" spans="1:9" x14ac:dyDescent="0.45">
      <c r="A546" s="7" t="s">
        <v>69</v>
      </c>
    </row>
    <row r="547" spans="1:9" x14ac:dyDescent="0.45">
      <c r="B547" s="20" t="s">
        <v>464</v>
      </c>
      <c r="C547" s="20" t="s">
        <v>233</v>
      </c>
      <c r="D547" s="20" t="s">
        <v>234</v>
      </c>
      <c r="E547" s="20" t="s">
        <v>214</v>
      </c>
      <c r="F547" s="20" t="s">
        <v>682</v>
      </c>
      <c r="G547" s="20" t="s">
        <v>218</v>
      </c>
      <c r="H547" s="21">
        <v>36.479999999999997</v>
      </c>
      <c r="I547" s="21">
        <v>36.479999999999997</v>
      </c>
    </row>
    <row r="548" spans="1:9" x14ac:dyDescent="0.45">
      <c r="B548" s="20" t="s">
        <v>654</v>
      </c>
      <c r="C548" s="20" t="s">
        <v>233</v>
      </c>
      <c r="D548" s="20" t="s">
        <v>234</v>
      </c>
      <c r="E548" s="20" t="s">
        <v>214</v>
      </c>
      <c r="F548" s="20" t="s">
        <v>301</v>
      </c>
      <c r="G548" s="20" t="s">
        <v>218</v>
      </c>
      <c r="H548" s="21">
        <v>78</v>
      </c>
      <c r="I548" s="21">
        <v>114.47999999999999</v>
      </c>
    </row>
    <row r="549" spans="1:9" x14ac:dyDescent="0.45">
      <c r="B549" s="20" t="s">
        <v>651</v>
      </c>
      <c r="C549" s="20" t="s">
        <v>233</v>
      </c>
      <c r="D549" s="20" t="s">
        <v>234</v>
      </c>
      <c r="E549" s="20" t="s">
        <v>214</v>
      </c>
      <c r="F549" s="20" t="s">
        <v>683</v>
      </c>
      <c r="G549" s="20" t="s">
        <v>218</v>
      </c>
      <c r="H549" s="21">
        <v>138.68</v>
      </c>
      <c r="I549" s="21">
        <v>253.16</v>
      </c>
    </row>
    <row r="550" spans="1:9" x14ac:dyDescent="0.45">
      <c r="B550" s="20" t="s">
        <v>232</v>
      </c>
      <c r="C550" s="20" t="s">
        <v>233</v>
      </c>
      <c r="D550" s="20" t="s">
        <v>295</v>
      </c>
      <c r="E550" s="20" t="s">
        <v>296</v>
      </c>
      <c r="F550" s="20" t="s">
        <v>301</v>
      </c>
      <c r="G550" s="20" t="s">
        <v>218</v>
      </c>
      <c r="H550" s="21">
        <v>22.21</v>
      </c>
      <c r="I550" s="21">
        <v>275.37</v>
      </c>
    </row>
    <row r="551" spans="1:9" x14ac:dyDescent="0.45">
      <c r="A551" s="27" t="s">
        <v>302</v>
      </c>
      <c r="H551" s="22">
        <f>H547+H548+H549+H550</f>
        <v>275.37</v>
      </c>
    </row>
    <row r="552" spans="1:9" x14ac:dyDescent="0.45">
      <c r="A552" s="7" t="s">
        <v>70</v>
      </c>
    </row>
    <row r="553" spans="1:9" x14ac:dyDescent="0.45">
      <c r="B553" s="20" t="s">
        <v>435</v>
      </c>
      <c r="C553" s="20" t="s">
        <v>233</v>
      </c>
      <c r="D553" s="20" t="s">
        <v>684</v>
      </c>
      <c r="E553" s="20" t="s">
        <v>685</v>
      </c>
      <c r="F553" s="20" t="s">
        <v>686</v>
      </c>
      <c r="G553" s="20" t="s">
        <v>218</v>
      </c>
      <c r="H553" s="21">
        <v>344</v>
      </c>
      <c r="I553" s="21">
        <v>344</v>
      </c>
    </row>
    <row r="554" spans="1:9" x14ac:dyDescent="0.45">
      <c r="B554" s="20" t="s">
        <v>464</v>
      </c>
      <c r="C554" s="20" t="s">
        <v>196</v>
      </c>
      <c r="D554" s="20" t="s">
        <v>175</v>
      </c>
      <c r="E554" s="20" t="s">
        <v>175</v>
      </c>
      <c r="F554" s="20" t="s">
        <v>687</v>
      </c>
      <c r="G554" s="20" t="s">
        <v>199</v>
      </c>
      <c r="H554" s="21">
        <v>-124.95</v>
      </c>
      <c r="I554" s="21">
        <v>219.05</v>
      </c>
    </row>
    <row r="555" spans="1:9" x14ac:dyDescent="0.45">
      <c r="A555" s="27" t="s">
        <v>688</v>
      </c>
      <c r="H555" s="22">
        <f>H553+H554</f>
        <v>219.05</v>
      </c>
    </row>
    <row r="556" spans="1:9" x14ac:dyDescent="0.45">
      <c r="A556" s="7" t="s">
        <v>71</v>
      </c>
    </row>
    <row r="557" spans="1:9" x14ac:dyDescent="0.45">
      <c r="B557" s="20" t="s">
        <v>463</v>
      </c>
      <c r="C557" s="20" t="s">
        <v>233</v>
      </c>
      <c r="D557" s="20" t="s">
        <v>234</v>
      </c>
      <c r="E557" s="20" t="s">
        <v>285</v>
      </c>
      <c r="F557" s="20" t="s">
        <v>689</v>
      </c>
      <c r="G557" s="20" t="s">
        <v>218</v>
      </c>
      <c r="H557" s="21">
        <v>112.38</v>
      </c>
      <c r="I557" s="21">
        <v>112.38</v>
      </c>
    </row>
    <row r="558" spans="1:9" x14ac:dyDescent="0.45">
      <c r="B558" s="20" t="s">
        <v>439</v>
      </c>
      <c r="C558" s="20" t="s">
        <v>233</v>
      </c>
      <c r="D558" s="20" t="s">
        <v>284</v>
      </c>
      <c r="E558" s="20" t="s">
        <v>285</v>
      </c>
      <c r="F558" s="20" t="s">
        <v>689</v>
      </c>
      <c r="G558" s="20" t="s">
        <v>218</v>
      </c>
      <c r="H558" s="21">
        <v>109.35</v>
      </c>
      <c r="I558" s="21">
        <v>221.73</v>
      </c>
    </row>
    <row r="559" spans="1:9" x14ac:dyDescent="0.45">
      <c r="B559" s="20" t="s">
        <v>565</v>
      </c>
      <c r="C559" s="20" t="s">
        <v>233</v>
      </c>
      <c r="D559" s="20" t="s">
        <v>284</v>
      </c>
      <c r="E559" s="20" t="s">
        <v>285</v>
      </c>
      <c r="F559" s="20" t="s">
        <v>689</v>
      </c>
      <c r="G559" s="20" t="s">
        <v>218</v>
      </c>
      <c r="H559" s="21">
        <v>104.92</v>
      </c>
      <c r="I559" s="21">
        <v>326.64999999999998</v>
      </c>
    </row>
    <row r="560" spans="1:9" x14ac:dyDescent="0.45">
      <c r="B560" s="20" t="s">
        <v>570</v>
      </c>
      <c r="C560" s="20" t="s">
        <v>233</v>
      </c>
      <c r="D560" s="20" t="s">
        <v>234</v>
      </c>
      <c r="E560" s="20" t="s">
        <v>285</v>
      </c>
      <c r="F560" s="20" t="s">
        <v>689</v>
      </c>
      <c r="G560" s="20" t="s">
        <v>218</v>
      </c>
      <c r="H560" s="21">
        <v>109.1</v>
      </c>
      <c r="I560" s="21">
        <v>435.75</v>
      </c>
    </row>
    <row r="561" spans="1:9" x14ac:dyDescent="0.45">
      <c r="B561" s="20" t="s">
        <v>571</v>
      </c>
      <c r="C561" s="20" t="s">
        <v>233</v>
      </c>
      <c r="D561" s="20" t="s">
        <v>284</v>
      </c>
      <c r="E561" s="20" t="s">
        <v>285</v>
      </c>
      <c r="F561" s="20" t="s">
        <v>689</v>
      </c>
      <c r="G561" s="20" t="s">
        <v>218</v>
      </c>
      <c r="H561" s="21">
        <v>107.95</v>
      </c>
      <c r="I561" s="21">
        <v>543.70000000000005</v>
      </c>
    </row>
    <row r="562" spans="1:9" x14ac:dyDescent="0.45">
      <c r="B562" s="20" t="s">
        <v>283</v>
      </c>
      <c r="C562" s="20" t="s">
        <v>233</v>
      </c>
      <c r="D562" s="20" t="s">
        <v>284</v>
      </c>
      <c r="E562" s="20" t="s">
        <v>285</v>
      </c>
      <c r="F562" s="20" t="s">
        <v>303</v>
      </c>
      <c r="G562" s="20" t="s">
        <v>218</v>
      </c>
      <c r="H562" s="21">
        <v>210.92</v>
      </c>
      <c r="I562" s="21">
        <v>754.62</v>
      </c>
    </row>
    <row r="563" spans="1:9" x14ac:dyDescent="0.45">
      <c r="A563" s="27" t="s">
        <v>304</v>
      </c>
      <c r="H563" s="22">
        <f>H557+H558+H559+H560+H561+H562</f>
        <v>754.62</v>
      </c>
    </row>
    <row r="564" spans="1:9" x14ac:dyDescent="0.45">
      <c r="A564" s="7" t="s">
        <v>72</v>
      </c>
    </row>
    <row r="565" spans="1:9" x14ac:dyDescent="0.45">
      <c r="B565" s="20" t="s">
        <v>585</v>
      </c>
      <c r="C565" s="20" t="s">
        <v>233</v>
      </c>
      <c r="D565" s="20" t="s">
        <v>690</v>
      </c>
      <c r="E565" s="20" t="s">
        <v>691</v>
      </c>
      <c r="F565" s="20" t="s">
        <v>692</v>
      </c>
      <c r="G565" s="20" t="s">
        <v>218</v>
      </c>
      <c r="H565" s="21">
        <v>2404.8000000000002</v>
      </c>
      <c r="I565" s="21">
        <v>2404.8000000000002</v>
      </c>
    </row>
    <row r="566" spans="1:9" x14ac:dyDescent="0.45">
      <c r="B566" s="20" t="s">
        <v>588</v>
      </c>
      <c r="C566" s="20" t="s">
        <v>233</v>
      </c>
      <c r="D566" s="20" t="s">
        <v>693</v>
      </c>
      <c r="E566" s="20" t="s">
        <v>694</v>
      </c>
      <c r="F566" s="20" t="s">
        <v>695</v>
      </c>
      <c r="G566" s="20" t="s">
        <v>218</v>
      </c>
      <c r="H566" s="21">
        <v>1742.75</v>
      </c>
      <c r="I566" s="21">
        <v>4147.55</v>
      </c>
    </row>
    <row r="567" spans="1:9" x14ac:dyDescent="0.45">
      <c r="A567" s="27" t="s">
        <v>696</v>
      </c>
      <c r="H567" s="22">
        <f>H565+H566</f>
        <v>4147.55</v>
      </c>
    </row>
    <row r="568" spans="1:9" x14ac:dyDescent="0.45">
      <c r="A568" s="7" t="s">
        <v>73</v>
      </c>
    </row>
    <row r="569" spans="1:9" x14ac:dyDescent="0.45">
      <c r="B569" s="20" t="s">
        <v>435</v>
      </c>
      <c r="C569" s="20" t="s">
        <v>233</v>
      </c>
      <c r="D569" s="20" t="s">
        <v>697</v>
      </c>
      <c r="E569" s="20" t="s">
        <v>306</v>
      </c>
      <c r="F569" s="20" t="s">
        <v>307</v>
      </c>
      <c r="G569" s="20" t="s">
        <v>218</v>
      </c>
      <c r="H569" s="21">
        <v>79.95</v>
      </c>
      <c r="I569" s="21">
        <v>79.95</v>
      </c>
    </row>
    <row r="570" spans="1:9" x14ac:dyDescent="0.45">
      <c r="B570" s="20" t="s">
        <v>464</v>
      </c>
      <c r="C570" s="20" t="s">
        <v>233</v>
      </c>
      <c r="D570" s="20" t="s">
        <v>234</v>
      </c>
      <c r="E570" s="20" t="s">
        <v>214</v>
      </c>
      <c r="F570" s="20" t="s">
        <v>698</v>
      </c>
      <c r="G570" s="20" t="s">
        <v>218</v>
      </c>
      <c r="H570" s="23">
        <v>0</v>
      </c>
      <c r="I570" s="21">
        <v>79.95</v>
      </c>
    </row>
    <row r="571" spans="1:9" x14ac:dyDescent="0.45">
      <c r="B571" s="20" t="s">
        <v>439</v>
      </c>
      <c r="C571" s="20" t="s">
        <v>233</v>
      </c>
      <c r="D571" s="20" t="s">
        <v>699</v>
      </c>
      <c r="E571" s="20" t="s">
        <v>306</v>
      </c>
      <c r="F571" s="20" t="s">
        <v>307</v>
      </c>
      <c r="G571" s="20" t="s">
        <v>218</v>
      </c>
      <c r="H571" s="21">
        <v>79.95</v>
      </c>
      <c r="I571" s="21">
        <v>159.9</v>
      </c>
    </row>
    <row r="572" spans="1:9" x14ac:dyDescent="0.45">
      <c r="B572" s="20" t="s">
        <v>585</v>
      </c>
      <c r="C572" s="20" t="s">
        <v>233</v>
      </c>
      <c r="D572" s="20" t="s">
        <v>700</v>
      </c>
      <c r="E572" s="20" t="s">
        <v>306</v>
      </c>
      <c r="F572" s="20" t="s">
        <v>307</v>
      </c>
      <c r="G572" s="20" t="s">
        <v>218</v>
      </c>
      <c r="H572" s="21">
        <v>79.95</v>
      </c>
      <c r="I572" s="21">
        <v>239.85000000000002</v>
      </c>
    </row>
    <row r="573" spans="1:9" x14ac:dyDescent="0.45">
      <c r="B573" s="20" t="s">
        <v>540</v>
      </c>
      <c r="C573" s="20" t="s">
        <v>233</v>
      </c>
      <c r="D573" s="20" t="s">
        <v>701</v>
      </c>
      <c r="E573" s="20" t="s">
        <v>306</v>
      </c>
      <c r="F573" s="20" t="s">
        <v>307</v>
      </c>
      <c r="G573" s="20" t="s">
        <v>218</v>
      </c>
      <c r="H573" s="21">
        <v>79.95</v>
      </c>
      <c r="I573" s="21">
        <v>319.8</v>
      </c>
    </row>
    <row r="574" spans="1:9" x14ac:dyDescent="0.45">
      <c r="B574" s="20" t="s">
        <v>588</v>
      </c>
      <c r="C574" s="20" t="s">
        <v>233</v>
      </c>
      <c r="D574" s="20" t="s">
        <v>702</v>
      </c>
      <c r="E574" s="20" t="s">
        <v>306</v>
      </c>
      <c r="F574" s="20" t="s">
        <v>307</v>
      </c>
      <c r="G574" s="20" t="s">
        <v>218</v>
      </c>
      <c r="H574" s="21">
        <v>79.95</v>
      </c>
      <c r="I574" s="21">
        <v>399.75</v>
      </c>
    </row>
    <row r="575" spans="1:9" x14ac:dyDescent="0.45">
      <c r="B575" s="20" t="s">
        <v>484</v>
      </c>
      <c r="C575" s="20" t="s">
        <v>233</v>
      </c>
      <c r="D575" s="20" t="s">
        <v>703</v>
      </c>
      <c r="E575" s="20" t="s">
        <v>306</v>
      </c>
      <c r="F575" s="20" t="s">
        <v>307</v>
      </c>
      <c r="G575" s="20" t="s">
        <v>218</v>
      </c>
      <c r="H575" s="21">
        <v>79.95</v>
      </c>
      <c r="I575" s="21">
        <v>479.7</v>
      </c>
    </row>
    <row r="576" spans="1:9" x14ac:dyDescent="0.45">
      <c r="B576" s="20" t="s">
        <v>247</v>
      </c>
      <c r="C576" s="20" t="s">
        <v>233</v>
      </c>
      <c r="D576" s="20" t="s">
        <v>305</v>
      </c>
      <c r="E576" s="20" t="s">
        <v>306</v>
      </c>
      <c r="F576" s="20" t="s">
        <v>307</v>
      </c>
      <c r="G576" s="20" t="s">
        <v>218</v>
      </c>
      <c r="H576" s="21">
        <v>79.95</v>
      </c>
      <c r="I576" s="21">
        <v>559.65</v>
      </c>
    </row>
    <row r="577" spans="1:9" x14ac:dyDescent="0.45">
      <c r="A577" s="27" t="s">
        <v>308</v>
      </c>
      <c r="H577" s="22">
        <f>H569+H570+H571+H572+H573+H574+H575+H576</f>
        <v>559.65</v>
      </c>
    </row>
    <row r="578" spans="1:9" x14ac:dyDescent="0.45">
      <c r="A578" s="17" t="s">
        <v>309</v>
      </c>
      <c r="H578" s="22">
        <f>H495+H503+H517+H522+H545+H551+H555+H563+H567+H577</f>
        <v>12702.199999999999</v>
      </c>
    </row>
    <row r="579" spans="1:9" x14ac:dyDescent="0.45">
      <c r="A579" s="14" t="s">
        <v>310</v>
      </c>
      <c r="H579" s="22">
        <f>H460+H489+H578</f>
        <v>38140.14</v>
      </c>
    </row>
    <row r="580" spans="1:9" x14ac:dyDescent="0.45">
      <c r="A580" s="7" t="s">
        <v>76</v>
      </c>
    </row>
    <row r="581" spans="1:9" x14ac:dyDescent="0.45">
      <c r="A581" s="7" t="s">
        <v>77</v>
      </c>
    </row>
    <row r="582" spans="1:9" x14ac:dyDescent="0.45">
      <c r="B582" s="20" t="s">
        <v>555</v>
      </c>
      <c r="C582" s="20" t="s">
        <v>233</v>
      </c>
      <c r="D582" s="20" t="s">
        <v>295</v>
      </c>
      <c r="E582" s="20" t="s">
        <v>296</v>
      </c>
      <c r="F582" s="20" t="s">
        <v>561</v>
      </c>
      <c r="G582" s="20" t="s">
        <v>218</v>
      </c>
      <c r="H582" s="21">
        <v>3000</v>
      </c>
      <c r="I582" s="21">
        <v>3000</v>
      </c>
    </row>
    <row r="583" spans="1:9" x14ac:dyDescent="0.45">
      <c r="B583" s="20" t="s">
        <v>555</v>
      </c>
      <c r="C583" s="20" t="s">
        <v>233</v>
      </c>
      <c r="D583" s="20" t="s">
        <v>295</v>
      </c>
      <c r="E583" s="20" t="s">
        <v>296</v>
      </c>
      <c r="F583" s="20" t="s">
        <v>704</v>
      </c>
      <c r="G583" s="20" t="s">
        <v>218</v>
      </c>
      <c r="H583" s="21">
        <v>30</v>
      </c>
      <c r="I583" s="21">
        <v>3030</v>
      </c>
    </row>
    <row r="584" spans="1:9" x14ac:dyDescent="0.45">
      <c r="B584" s="20" t="s">
        <v>555</v>
      </c>
      <c r="C584" s="20" t="s">
        <v>233</v>
      </c>
      <c r="D584" s="20" t="s">
        <v>295</v>
      </c>
      <c r="E584" s="20" t="s">
        <v>296</v>
      </c>
      <c r="F584" s="20" t="s">
        <v>705</v>
      </c>
      <c r="G584" s="20" t="s">
        <v>218</v>
      </c>
      <c r="H584" s="21">
        <v>19.5</v>
      </c>
      <c r="I584" s="21">
        <v>3049.5</v>
      </c>
    </row>
    <row r="585" spans="1:9" x14ac:dyDescent="0.45">
      <c r="B585" s="20" t="s">
        <v>555</v>
      </c>
      <c r="C585" s="20" t="s">
        <v>233</v>
      </c>
      <c r="D585" s="20" t="s">
        <v>295</v>
      </c>
      <c r="E585" s="20" t="s">
        <v>296</v>
      </c>
      <c r="F585" s="20" t="s">
        <v>706</v>
      </c>
      <c r="G585" s="20" t="s">
        <v>218</v>
      </c>
      <c r="H585" s="21">
        <v>38.22</v>
      </c>
      <c r="I585" s="21">
        <v>3087.72</v>
      </c>
    </row>
    <row r="586" spans="1:9" x14ac:dyDescent="0.45">
      <c r="B586" s="20" t="s">
        <v>555</v>
      </c>
      <c r="C586" s="20" t="s">
        <v>233</v>
      </c>
      <c r="D586" s="20" t="s">
        <v>295</v>
      </c>
      <c r="E586" s="20" t="s">
        <v>296</v>
      </c>
      <c r="F586" s="20" t="s">
        <v>253</v>
      </c>
      <c r="G586" s="20" t="s">
        <v>218</v>
      </c>
      <c r="H586" s="21">
        <v>-29.25</v>
      </c>
      <c r="I586" s="21">
        <v>3058.47</v>
      </c>
    </row>
    <row r="587" spans="1:9" x14ac:dyDescent="0.45">
      <c r="B587" s="20" t="s">
        <v>555</v>
      </c>
      <c r="C587" s="20" t="s">
        <v>233</v>
      </c>
      <c r="D587" s="20" t="s">
        <v>295</v>
      </c>
      <c r="E587" s="20" t="s">
        <v>296</v>
      </c>
      <c r="F587" s="20" t="s">
        <v>263</v>
      </c>
      <c r="G587" s="20" t="s">
        <v>218</v>
      </c>
      <c r="H587" s="21">
        <v>-106.2</v>
      </c>
      <c r="I587" s="21">
        <v>2952.27</v>
      </c>
    </row>
    <row r="588" spans="1:9" x14ac:dyDescent="0.45">
      <c r="B588" s="20" t="s">
        <v>555</v>
      </c>
      <c r="C588" s="20" t="s">
        <v>233</v>
      </c>
      <c r="D588" s="20" t="s">
        <v>295</v>
      </c>
      <c r="E588" s="20" t="s">
        <v>296</v>
      </c>
      <c r="F588" s="20" t="s">
        <v>237</v>
      </c>
      <c r="G588" s="20" t="s">
        <v>218</v>
      </c>
      <c r="H588" s="21">
        <v>-44.22</v>
      </c>
      <c r="I588" s="21">
        <v>2908.05</v>
      </c>
    </row>
    <row r="589" spans="1:9" x14ac:dyDescent="0.45">
      <c r="B589" s="20" t="s">
        <v>555</v>
      </c>
      <c r="C589" s="20" t="s">
        <v>233</v>
      </c>
      <c r="D589" s="20" t="s">
        <v>295</v>
      </c>
      <c r="E589" s="20" t="s">
        <v>296</v>
      </c>
      <c r="F589" s="20" t="s">
        <v>244</v>
      </c>
      <c r="G589" s="20" t="s">
        <v>218</v>
      </c>
      <c r="H589" s="21">
        <v>-189.07</v>
      </c>
      <c r="I589" s="21">
        <v>2718.98</v>
      </c>
    </row>
    <row r="590" spans="1:9" x14ac:dyDescent="0.45">
      <c r="B590" s="20" t="s">
        <v>435</v>
      </c>
      <c r="C590" s="20" t="s">
        <v>233</v>
      </c>
      <c r="D590" s="20" t="s">
        <v>234</v>
      </c>
      <c r="E590" s="20" t="s">
        <v>245</v>
      </c>
      <c r="F590" s="20" t="s">
        <v>707</v>
      </c>
      <c r="G590" s="20" t="s">
        <v>199</v>
      </c>
      <c r="H590" s="21">
        <v>495.82</v>
      </c>
      <c r="I590" s="21">
        <v>3214.8</v>
      </c>
    </row>
    <row r="591" spans="1:9" x14ac:dyDescent="0.45">
      <c r="B591" s="20" t="s">
        <v>463</v>
      </c>
      <c r="C591" s="20" t="s">
        <v>233</v>
      </c>
      <c r="D591" s="20" t="s">
        <v>234</v>
      </c>
      <c r="E591" s="20" t="s">
        <v>266</v>
      </c>
      <c r="F591" s="20" t="s">
        <v>313</v>
      </c>
      <c r="G591" s="20" t="s">
        <v>218</v>
      </c>
      <c r="H591" s="21">
        <v>106.2</v>
      </c>
      <c r="I591" s="21">
        <v>3321</v>
      </c>
    </row>
    <row r="592" spans="1:9" x14ac:dyDescent="0.45">
      <c r="B592" s="20" t="s">
        <v>564</v>
      </c>
      <c r="C592" s="20" t="s">
        <v>233</v>
      </c>
      <c r="D592" s="20" t="s">
        <v>234</v>
      </c>
      <c r="E592" s="20" t="s">
        <v>245</v>
      </c>
      <c r="F592" s="20" t="s">
        <v>707</v>
      </c>
      <c r="G592" s="20" t="s">
        <v>199</v>
      </c>
      <c r="H592" s="23">
        <v>0</v>
      </c>
      <c r="I592" s="21">
        <v>3321</v>
      </c>
    </row>
    <row r="593" spans="2:9" x14ac:dyDescent="0.45">
      <c r="B593" s="20" t="s">
        <v>565</v>
      </c>
      <c r="C593" s="20" t="s">
        <v>233</v>
      </c>
      <c r="D593" s="20" t="s">
        <v>284</v>
      </c>
      <c r="E593" s="20" t="s">
        <v>266</v>
      </c>
      <c r="F593" s="20" t="s">
        <v>313</v>
      </c>
      <c r="G593" s="20" t="s">
        <v>218</v>
      </c>
      <c r="H593" s="20"/>
      <c r="I593" s="21">
        <v>3321</v>
      </c>
    </row>
    <row r="594" spans="2:9" x14ac:dyDescent="0.45">
      <c r="B594" s="20" t="s">
        <v>565</v>
      </c>
      <c r="C594" s="20" t="s">
        <v>233</v>
      </c>
      <c r="D594" s="20" t="s">
        <v>234</v>
      </c>
      <c r="E594" s="20" t="s">
        <v>245</v>
      </c>
      <c r="F594" s="20" t="s">
        <v>312</v>
      </c>
      <c r="G594" s="20" t="s">
        <v>199</v>
      </c>
      <c r="H594" s="20"/>
      <c r="I594" s="21">
        <v>3321</v>
      </c>
    </row>
    <row r="595" spans="2:9" x14ac:dyDescent="0.45">
      <c r="B595" s="20" t="s">
        <v>566</v>
      </c>
      <c r="C595" s="20" t="s">
        <v>233</v>
      </c>
      <c r="D595" s="20" t="s">
        <v>295</v>
      </c>
      <c r="E595" s="20" t="s">
        <v>296</v>
      </c>
      <c r="F595" s="20" t="s">
        <v>567</v>
      </c>
      <c r="G595" s="20" t="s">
        <v>218</v>
      </c>
      <c r="H595" s="21">
        <v>3000</v>
      </c>
      <c r="I595" s="21">
        <v>6321</v>
      </c>
    </row>
    <row r="596" spans="2:9" x14ac:dyDescent="0.45">
      <c r="B596" s="20" t="s">
        <v>566</v>
      </c>
      <c r="C596" s="20" t="s">
        <v>233</v>
      </c>
      <c r="D596" s="20" t="s">
        <v>295</v>
      </c>
      <c r="E596" s="20" t="s">
        <v>296</v>
      </c>
      <c r="F596" s="20" t="s">
        <v>253</v>
      </c>
      <c r="G596" s="20" t="s">
        <v>218</v>
      </c>
      <c r="H596" s="21">
        <v>-29.25</v>
      </c>
      <c r="I596" s="21">
        <v>6291.75</v>
      </c>
    </row>
    <row r="597" spans="2:9" x14ac:dyDescent="0.45">
      <c r="B597" s="20" t="s">
        <v>566</v>
      </c>
      <c r="C597" s="20" t="s">
        <v>233</v>
      </c>
      <c r="D597" s="20" t="s">
        <v>295</v>
      </c>
      <c r="E597" s="20" t="s">
        <v>296</v>
      </c>
      <c r="F597" s="20" t="s">
        <v>263</v>
      </c>
      <c r="G597" s="20" t="s">
        <v>218</v>
      </c>
      <c r="H597" s="21">
        <v>-106.2</v>
      </c>
      <c r="I597" s="21">
        <v>6185.55</v>
      </c>
    </row>
    <row r="598" spans="2:9" x14ac:dyDescent="0.45">
      <c r="B598" s="20" t="s">
        <v>566</v>
      </c>
      <c r="C598" s="20" t="s">
        <v>233</v>
      </c>
      <c r="D598" s="20" t="s">
        <v>295</v>
      </c>
      <c r="E598" s="20" t="s">
        <v>296</v>
      </c>
      <c r="F598" s="20" t="s">
        <v>237</v>
      </c>
      <c r="G598" s="20" t="s">
        <v>218</v>
      </c>
      <c r="H598" s="21">
        <v>-43.94</v>
      </c>
      <c r="I598" s="21">
        <v>6141.6100000000006</v>
      </c>
    </row>
    <row r="599" spans="2:9" x14ac:dyDescent="0.45">
      <c r="B599" s="20" t="s">
        <v>566</v>
      </c>
      <c r="C599" s="20" t="s">
        <v>233</v>
      </c>
      <c r="D599" s="20" t="s">
        <v>295</v>
      </c>
      <c r="E599" s="20" t="s">
        <v>296</v>
      </c>
      <c r="F599" s="20" t="s">
        <v>244</v>
      </c>
      <c r="G599" s="20" t="s">
        <v>218</v>
      </c>
      <c r="H599" s="21">
        <v>-187.86</v>
      </c>
      <c r="I599" s="21">
        <v>5953.7500000000009</v>
      </c>
    </row>
    <row r="600" spans="2:9" x14ac:dyDescent="0.45">
      <c r="B600" s="20" t="s">
        <v>570</v>
      </c>
      <c r="C600" s="20" t="s">
        <v>233</v>
      </c>
      <c r="D600" s="20" t="s">
        <v>234</v>
      </c>
      <c r="E600" s="20" t="s">
        <v>245</v>
      </c>
      <c r="F600" s="20" t="s">
        <v>707</v>
      </c>
      <c r="G600" s="20" t="s">
        <v>199</v>
      </c>
      <c r="H600" s="21">
        <v>492.84</v>
      </c>
      <c r="I600" s="21">
        <v>6446.5900000000011</v>
      </c>
    </row>
    <row r="601" spans="2:9" x14ac:dyDescent="0.45">
      <c r="B601" s="20" t="s">
        <v>570</v>
      </c>
      <c r="C601" s="20" t="s">
        <v>233</v>
      </c>
      <c r="D601" s="20" t="s">
        <v>234</v>
      </c>
      <c r="E601" s="20" t="s">
        <v>266</v>
      </c>
      <c r="F601" s="20" t="s">
        <v>313</v>
      </c>
      <c r="G601" s="20" t="s">
        <v>218</v>
      </c>
      <c r="H601" s="21">
        <v>106.2</v>
      </c>
      <c r="I601" s="21">
        <v>6552.7900000000009</v>
      </c>
    </row>
    <row r="602" spans="2:9" x14ac:dyDescent="0.45">
      <c r="B602" s="20" t="s">
        <v>571</v>
      </c>
      <c r="C602" s="20" t="s">
        <v>233</v>
      </c>
      <c r="D602" s="20" t="s">
        <v>234</v>
      </c>
      <c r="E602" s="20" t="s">
        <v>266</v>
      </c>
      <c r="F602" s="20" t="s">
        <v>313</v>
      </c>
      <c r="G602" s="20" t="s">
        <v>218</v>
      </c>
      <c r="H602" s="20"/>
      <c r="I602" s="21">
        <v>6552.7900000000009</v>
      </c>
    </row>
    <row r="603" spans="2:9" x14ac:dyDescent="0.45">
      <c r="B603" s="20" t="s">
        <v>571</v>
      </c>
      <c r="C603" s="20" t="s">
        <v>233</v>
      </c>
      <c r="D603" s="20" t="s">
        <v>234</v>
      </c>
      <c r="E603" s="20" t="s">
        <v>245</v>
      </c>
      <c r="F603" s="20" t="s">
        <v>312</v>
      </c>
      <c r="G603" s="20" t="s">
        <v>199</v>
      </c>
      <c r="H603" s="20"/>
      <c r="I603" s="21">
        <v>6552.7900000000009</v>
      </c>
    </row>
    <row r="604" spans="2:9" x14ac:dyDescent="0.45">
      <c r="B604" s="20" t="s">
        <v>232</v>
      </c>
      <c r="C604" s="20" t="s">
        <v>233</v>
      </c>
      <c r="D604" s="20" t="s">
        <v>295</v>
      </c>
      <c r="E604" s="20" t="s">
        <v>296</v>
      </c>
      <c r="F604" s="20" t="s">
        <v>236</v>
      </c>
      <c r="G604" s="20" t="s">
        <v>218</v>
      </c>
      <c r="H604" s="21">
        <v>3000</v>
      </c>
      <c r="I604" s="21">
        <v>9552.7900000000009</v>
      </c>
    </row>
    <row r="605" spans="2:9" x14ac:dyDescent="0.45">
      <c r="B605" s="20" t="s">
        <v>232</v>
      </c>
      <c r="C605" s="20" t="s">
        <v>233</v>
      </c>
      <c r="D605" s="20" t="s">
        <v>295</v>
      </c>
      <c r="E605" s="20" t="s">
        <v>296</v>
      </c>
      <c r="F605" s="20" t="s">
        <v>253</v>
      </c>
      <c r="G605" s="20" t="s">
        <v>218</v>
      </c>
      <c r="H605" s="21">
        <v>-42.5</v>
      </c>
      <c r="I605" s="21">
        <v>9510.2900000000009</v>
      </c>
    </row>
    <row r="606" spans="2:9" x14ac:dyDescent="0.45">
      <c r="B606" s="20" t="s">
        <v>232</v>
      </c>
      <c r="C606" s="20" t="s">
        <v>233</v>
      </c>
      <c r="D606" s="20" t="s">
        <v>295</v>
      </c>
      <c r="E606" s="20" t="s">
        <v>296</v>
      </c>
      <c r="F606" s="20" t="s">
        <v>263</v>
      </c>
      <c r="G606" s="20" t="s">
        <v>218</v>
      </c>
      <c r="H606" s="21">
        <v>-126.11</v>
      </c>
      <c r="I606" s="21">
        <v>9384.18</v>
      </c>
    </row>
    <row r="607" spans="2:9" x14ac:dyDescent="0.45">
      <c r="B607" s="20" t="s">
        <v>232</v>
      </c>
      <c r="C607" s="20" t="s">
        <v>233</v>
      </c>
      <c r="D607" s="20" t="s">
        <v>295</v>
      </c>
      <c r="E607" s="20" t="s">
        <v>296</v>
      </c>
      <c r="F607" s="20" t="s">
        <v>237</v>
      </c>
      <c r="G607" s="20" t="s">
        <v>218</v>
      </c>
      <c r="H607" s="21">
        <v>-76.13</v>
      </c>
      <c r="I607" s="21">
        <v>9308.0500000000011</v>
      </c>
    </row>
    <row r="608" spans="2:9" x14ac:dyDescent="0.45">
      <c r="B608" s="20" t="s">
        <v>232</v>
      </c>
      <c r="C608" s="20" t="s">
        <v>233</v>
      </c>
      <c r="D608" s="20" t="s">
        <v>295</v>
      </c>
      <c r="E608" s="20" t="s">
        <v>296</v>
      </c>
      <c r="F608" s="20" t="s">
        <v>244</v>
      </c>
      <c r="G608" s="20" t="s">
        <v>218</v>
      </c>
      <c r="H608" s="21">
        <v>-325.5</v>
      </c>
      <c r="I608" s="21">
        <v>8982.5500000000011</v>
      </c>
    </row>
    <row r="609" spans="1:9" x14ac:dyDescent="0.45">
      <c r="B609" s="20" t="s">
        <v>232</v>
      </c>
      <c r="C609" s="20" t="s">
        <v>233</v>
      </c>
      <c r="D609" s="20" t="s">
        <v>295</v>
      </c>
      <c r="E609" s="20" t="s">
        <v>296</v>
      </c>
      <c r="F609" s="20" t="s">
        <v>311</v>
      </c>
      <c r="G609" s="20" t="s">
        <v>218</v>
      </c>
      <c r="H609" s="21">
        <v>2250</v>
      </c>
      <c r="I609" s="21">
        <v>11232.550000000001</v>
      </c>
    </row>
    <row r="610" spans="1:9" x14ac:dyDescent="0.45">
      <c r="B610" s="20" t="s">
        <v>232</v>
      </c>
      <c r="C610" s="20" t="s">
        <v>233</v>
      </c>
      <c r="D610" s="20" t="s">
        <v>234</v>
      </c>
      <c r="E610" s="20" t="s">
        <v>245</v>
      </c>
      <c r="F610" s="20" t="s">
        <v>312</v>
      </c>
      <c r="G610" s="20" t="s">
        <v>199</v>
      </c>
      <c r="H610" s="20"/>
      <c r="I610" s="21">
        <v>11232.550000000001</v>
      </c>
    </row>
    <row r="611" spans="1:9" x14ac:dyDescent="0.45">
      <c r="B611" s="20" t="s">
        <v>265</v>
      </c>
      <c r="C611" s="20" t="s">
        <v>233</v>
      </c>
      <c r="D611" s="20" t="s">
        <v>234</v>
      </c>
      <c r="E611" s="20" t="s">
        <v>266</v>
      </c>
      <c r="F611" s="20" t="s">
        <v>313</v>
      </c>
      <c r="G611" s="20" t="s">
        <v>218</v>
      </c>
      <c r="H611" s="20"/>
      <c r="I611" s="21">
        <v>11232.550000000001</v>
      </c>
    </row>
    <row r="612" spans="1:9" x14ac:dyDescent="0.45">
      <c r="B612" s="20" t="s">
        <v>213</v>
      </c>
      <c r="C612" s="20" t="s">
        <v>233</v>
      </c>
      <c r="D612" s="20" t="s">
        <v>234</v>
      </c>
      <c r="E612" s="20" t="s">
        <v>245</v>
      </c>
      <c r="F612" s="20" t="s">
        <v>312</v>
      </c>
      <c r="G612" s="20" t="s">
        <v>199</v>
      </c>
      <c r="H612" s="21">
        <v>845.75</v>
      </c>
      <c r="I612" s="21">
        <v>12078.300000000001</v>
      </c>
    </row>
    <row r="613" spans="1:9" x14ac:dyDescent="0.45">
      <c r="B613" s="20" t="s">
        <v>213</v>
      </c>
      <c r="C613" s="20" t="s">
        <v>233</v>
      </c>
      <c r="D613" s="20" t="s">
        <v>234</v>
      </c>
      <c r="E613" s="20" t="s">
        <v>266</v>
      </c>
      <c r="F613" s="20" t="s">
        <v>313</v>
      </c>
      <c r="G613" s="20" t="s">
        <v>218</v>
      </c>
      <c r="H613" s="21">
        <v>126.11</v>
      </c>
      <c r="I613" s="21">
        <v>12204.410000000002</v>
      </c>
    </row>
    <row r="614" spans="1:9" x14ac:dyDescent="0.45">
      <c r="A614" s="17" t="s">
        <v>314</v>
      </c>
      <c r="H614" s="22">
        <f>H582+H583+H584+H585+H586+H587+H588+H589+H590+H591+H592+H593+H594+H595+H596+H597+H598+H599+H600+H601+H602+H603+H604+H605+H606+H607+H608+H609+H610+H611+H612+H613</f>
        <v>12204.410000000002</v>
      </c>
    </row>
    <row r="615" spans="1:9" x14ac:dyDescent="0.45">
      <c r="A615" s="14" t="s">
        <v>315</v>
      </c>
      <c r="H615" s="22">
        <f>H614</f>
        <v>12204.410000000002</v>
      </c>
    </row>
    <row r="616" spans="1:9" x14ac:dyDescent="0.45">
      <c r="A616" s="7" t="s">
        <v>79</v>
      </c>
    </row>
    <row r="617" spans="1:9" x14ac:dyDescent="0.45">
      <c r="A617" s="7" t="s">
        <v>80</v>
      </c>
    </row>
    <row r="618" spans="1:9" x14ac:dyDescent="0.45">
      <c r="B618" s="20" t="s">
        <v>439</v>
      </c>
      <c r="C618" s="20" t="s">
        <v>233</v>
      </c>
      <c r="D618" s="20" t="s">
        <v>708</v>
      </c>
      <c r="E618" s="20" t="s">
        <v>709</v>
      </c>
      <c r="F618" s="20" t="s">
        <v>710</v>
      </c>
      <c r="G618" s="20" t="s">
        <v>218</v>
      </c>
      <c r="H618" s="21">
        <v>200</v>
      </c>
      <c r="I618" s="21">
        <v>200</v>
      </c>
    </row>
    <row r="619" spans="1:9" x14ac:dyDescent="0.45">
      <c r="A619" s="17" t="s">
        <v>711</v>
      </c>
      <c r="H619" s="22">
        <f>H618</f>
        <v>200</v>
      </c>
    </row>
    <row r="620" spans="1:9" x14ac:dyDescent="0.45">
      <c r="A620" s="7" t="s">
        <v>81</v>
      </c>
    </row>
    <row r="621" spans="1:9" x14ac:dyDescent="0.45">
      <c r="B621" s="20" t="s">
        <v>588</v>
      </c>
      <c r="C621" s="20" t="s">
        <v>233</v>
      </c>
      <c r="D621" s="20" t="s">
        <v>712</v>
      </c>
      <c r="E621" s="20" t="s">
        <v>317</v>
      </c>
      <c r="F621" s="20" t="s">
        <v>713</v>
      </c>
      <c r="G621" s="20" t="s">
        <v>218</v>
      </c>
      <c r="H621" s="21">
        <v>18057</v>
      </c>
      <c r="I621" s="21">
        <v>18057</v>
      </c>
    </row>
    <row r="622" spans="1:9" x14ac:dyDescent="0.45">
      <c r="B622" s="20" t="s">
        <v>484</v>
      </c>
      <c r="C622" s="20" t="s">
        <v>233</v>
      </c>
      <c r="D622" s="20" t="s">
        <v>714</v>
      </c>
      <c r="E622" s="20" t="s">
        <v>317</v>
      </c>
      <c r="F622" s="20" t="s">
        <v>715</v>
      </c>
      <c r="G622" s="20" t="s">
        <v>218</v>
      </c>
      <c r="H622" s="21">
        <v>1088</v>
      </c>
      <c r="I622" s="21">
        <v>19145</v>
      </c>
    </row>
    <row r="623" spans="1:9" x14ac:dyDescent="0.45">
      <c r="A623" s="17" t="s">
        <v>716</v>
      </c>
      <c r="H623" s="22">
        <f>H621+H622</f>
        <v>19145</v>
      </c>
    </row>
    <row r="624" spans="1:9" x14ac:dyDescent="0.45">
      <c r="A624" s="7" t="s">
        <v>82</v>
      </c>
    </row>
    <row r="625" spans="1:9" x14ac:dyDescent="0.45">
      <c r="B625" s="20" t="s">
        <v>521</v>
      </c>
      <c r="C625" s="20" t="s">
        <v>196</v>
      </c>
      <c r="D625" s="20" t="s">
        <v>175</v>
      </c>
      <c r="E625" s="20" t="s">
        <v>175</v>
      </c>
      <c r="F625" s="20" t="s">
        <v>717</v>
      </c>
      <c r="G625" s="20" t="s">
        <v>199</v>
      </c>
      <c r="H625" s="21">
        <v>-579</v>
      </c>
      <c r="I625" s="21">
        <v>-579</v>
      </c>
    </row>
    <row r="626" spans="1:9" x14ac:dyDescent="0.45">
      <c r="B626" s="20" t="s">
        <v>247</v>
      </c>
      <c r="C626" s="20" t="s">
        <v>233</v>
      </c>
      <c r="D626" s="20" t="s">
        <v>316</v>
      </c>
      <c r="E626" s="20" t="s">
        <v>317</v>
      </c>
      <c r="F626" s="20" t="s">
        <v>318</v>
      </c>
      <c r="G626" s="20" t="s">
        <v>218</v>
      </c>
      <c r="H626" s="21">
        <v>2421</v>
      </c>
      <c r="I626" s="21">
        <v>1842</v>
      </c>
    </row>
    <row r="627" spans="1:9" x14ac:dyDescent="0.45">
      <c r="A627" s="17" t="s">
        <v>319</v>
      </c>
      <c r="H627" s="22">
        <f>H625+H626</f>
        <v>1842</v>
      </c>
    </row>
    <row r="628" spans="1:9" x14ac:dyDescent="0.45">
      <c r="A628" s="14" t="s">
        <v>320</v>
      </c>
      <c r="H628" s="22">
        <f>H619+H623+H627</f>
        <v>21187</v>
      </c>
    </row>
    <row r="629" spans="1:9" x14ac:dyDescent="0.45">
      <c r="A629" s="15" t="s">
        <v>321</v>
      </c>
      <c r="H629" s="22">
        <f>H343+H352+H579+H615+H628</f>
        <v>89145</v>
      </c>
    </row>
    <row r="630" spans="1:9" x14ac:dyDescent="0.45">
      <c r="A630" s="7" t="s">
        <v>85</v>
      </c>
    </row>
    <row r="631" spans="1:9" x14ac:dyDescent="0.45">
      <c r="A631" s="7" t="s">
        <v>86</v>
      </c>
    </row>
    <row r="632" spans="1:9" x14ac:dyDescent="0.45">
      <c r="A632" s="7" t="s">
        <v>87</v>
      </c>
    </row>
    <row r="633" spans="1:9" x14ac:dyDescent="0.45">
      <c r="B633" s="20" t="s">
        <v>439</v>
      </c>
      <c r="C633" s="20" t="s">
        <v>233</v>
      </c>
      <c r="D633" s="20" t="s">
        <v>718</v>
      </c>
      <c r="E633" s="20" t="s">
        <v>719</v>
      </c>
      <c r="F633" s="20" t="s">
        <v>720</v>
      </c>
      <c r="G633" s="20" t="s">
        <v>218</v>
      </c>
      <c r="H633" s="21">
        <v>30955.17</v>
      </c>
      <c r="I633" s="21">
        <v>30955.17</v>
      </c>
    </row>
    <row r="634" spans="1:9" x14ac:dyDescent="0.45">
      <c r="B634" s="20" t="s">
        <v>439</v>
      </c>
      <c r="C634" s="20" t="s">
        <v>233</v>
      </c>
      <c r="D634" s="20" t="s">
        <v>718</v>
      </c>
      <c r="E634" s="20" t="s">
        <v>719</v>
      </c>
      <c r="F634" s="20" t="s">
        <v>721</v>
      </c>
      <c r="G634" s="20" t="s">
        <v>218</v>
      </c>
      <c r="H634" s="21">
        <v>1000</v>
      </c>
      <c r="I634" s="21">
        <v>31955.17</v>
      </c>
    </row>
    <row r="635" spans="1:9" x14ac:dyDescent="0.45">
      <c r="A635" s="17" t="s">
        <v>722</v>
      </c>
      <c r="H635" s="22">
        <f>H633+H634</f>
        <v>31955.17</v>
      </c>
    </row>
    <row r="636" spans="1:9" x14ac:dyDescent="0.45">
      <c r="A636" s="7" t="s">
        <v>88</v>
      </c>
    </row>
    <row r="637" spans="1:9" x14ac:dyDescent="0.45">
      <c r="B637" s="20" t="s">
        <v>588</v>
      </c>
      <c r="C637" s="20" t="s">
        <v>233</v>
      </c>
      <c r="D637" s="20" t="s">
        <v>723</v>
      </c>
      <c r="E637" s="20" t="s">
        <v>724</v>
      </c>
      <c r="F637" s="20" t="s">
        <v>725</v>
      </c>
      <c r="G637" s="20" t="s">
        <v>218</v>
      </c>
      <c r="H637" s="21">
        <v>235.25</v>
      </c>
      <c r="I637" s="21">
        <v>235.25</v>
      </c>
    </row>
    <row r="638" spans="1:9" x14ac:dyDescent="0.45">
      <c r="B638" s="20" t="s">
        <v>247</v>
      </c>
      <c r="C638" s="20" t="s">
        <v>233</v>
      </c>
      <c r="D638" s="20" t="s">
        <v>322</v>
      </c>
      <c r="E638" s="20" t="s">
        <v>323</v>
      </c>
      <c r="F638" s="20" t="s">
        <v>324</v>
      </c>
      <c r="G638" s="20" t="s">
        <v>218</v>
      </c>
      <c r="H638" s="21">
        <v>432</v>
      </c>
      <c r="I638" s="21">
        <v>667.25</v>
      </c>
    </row>
    <row r="639" spans="1:9" x14ac:dyDescent="0.45">
      <c r="A639" s="17" t="s">
        <v>325</v>
      </c>
      <c r="H639" s="22">
        <f>H637+H638</f>
        <v>667.25</v>
      </c>
    </row>
    <row r="640" spans="1:9" x14ac:dyDescent="0.45">
      <c r="A640" s="7" t="s">
        <v>89</v>
      </c>
    </row>
    <row r="641" spans="1:9" x14ac:dyDescent="0.45">
      <c r="B641" s="20" t="s">
        <v>435</v>
      </c>
      <c r="C641" s="20" t="s">
        <v>233</v>
      </c>
      <c r="D641" s="20" t="s">
        <v>726</v>
      </c>
      <c r="E641" s="20" t="s">
        <v>727</v>
      </c>
      <c r="F641" s="20" t="s">
        <v>728</v>
      </c>
      <c r="G641" s="20" t="s">
        <v>218</v>
      </c>
      <c r="H641" s="21">
        <v>26101.4</v>
      </c>
      <c r="I641" s="21">
        <v>26101.4</v>
      </c>
    </row>
    <row r="642" spans="1:9" x14ac:dyDescent="0.45">
      <c r="A642" s="17" t="s">
        <v>729</v>
      </c>
      <c r="H642" s="22">
        <f>H641</f>
        <v>26101.4</v>
      </c>
    </row>
    <row r="643" spans="1:9" x14ac:dyDescent="0.45">
      <c r="A643" s="14" t="s">
        <v>326</v>
      </c>
      <c r="H643" s="22">
        <f>H635+H639+H642</f>
        <v>58723.82</v>
      </c>
    </row>
    <row r="644" spans="1:9" x14ac:dyDescent="0.45">
      <c r="A644" s="7" t="s">
        <v>91</v>
      </c>
    </row>
    <row r="645" spans="1:9" x14ac:dyDescent="0.45">
      <c r="A645" s="7" t="s">
        <v>92</v>
      </c>
    </row>
    <row r="646" spans="1:9" x14ac:dyDescent="0.45">
      <c r="B646" s="20" t="s">
        <v>439</v>
      </c>
      <c r="C646" s="20" t="s">
        <v>233</v>
      </c>
      <c r="D646" s="20" t="s">
        <v>730</v>
      </c>
      <c r="E646" s="20" t="s">
        <v>731</v>
      </c>
      <c r="F646" s="20" t="s">
        <v>732</v>
      </c>
      <c r="G646" s="20" t="s">
        <v>218</v>
      </c>
      <c r="H646" s="21">
        <v>44273.27</v>
      </c>
      <c r="I646" s="21">
        <v>44273.27</v>
      </c>
    </row>
    <row r="647" spans="1:9" x14ac:dyDescent="0.45">
      <c r="B647" s="20" t="s">
        <v>484</v>
      </c>
      <c r="C647" s="20" t="s">
        <v>233</v>
      </c>
      <c r="D647" s="20" t="s">
        <v>733</v>
      </c>
      <c r="E647" s="20" t="s">
        <v>719</v>
      </c>
      <c r="F647" s="20" t="s">
        <v>734</v>
      </c>
      <c r="G647" s="20" t="s">
        <v>218</v>
      </c>
      <c r="H647" s="21">
        <v>31955.17</v>
      </c>
      <c r="I647" s="21">
        <v>76228.44</v>
      </c>
    </row>
    <row r="648" spans="1:9" x14ac:dyDescent="0.45">
      <c r="A648" s="17" t="s">
        <v>735</v>
      </c>
      <c r="H648" s="22">
        <f>H646+H647</f>
        <v>76228.44</v>
      </c>
    </row>
    <row r="649" spans="1:9" x14ac:dyDescent="0.45">
      <c r="A649" s="7" t="s">
        <v>93</v>
      </c>
    </row>
    <row r="650" spans="1:9" x14ac:dyDescent="0.45">
      <c r="B650" s="20" t="s">
        <v>435</v>
      </c>
      <c r="C650" s="20" t="s">
        <v>233</v>
      </c>
      <c r="D650" s="20" t="s">
        <v>726</v>
      </c>
      <c r="E650" s="20" t="s">
        <v>727</v>
      </c>
      <c r="F650" s="20" t="s">
        <v>736</v>
      </c>
      <c r="G650" s="20" t="s">
        <v>218</v>
      </c>
      <c r="H650" s="21">
        <v>13784.6</v>
      </c>
      <c r="I650" s="21">
        <v>13784.6</v>
      </c>
    </row>
    <row r="651" spans="1:9" x14ac:dyDescent="0.45">
      <c r="A651" s="17" t="s">
        <v>737</v>
      </c>
      <c r="H651" s="22">
        <f>H650</f>
        <v>13784.6</v>
      </c>
    </row>
    <row r="652" spans="1:9" x14ac:dyDescent="0.45">
      <c r="A652" s="14" t="s">
        <v>738</v>
      </c>
      <c r="H652" s="22">
        <f>H648+H651</f>
        <v>90013.040000000008</v>
      </c>
    </row>
    <row r="653" spans="1:9" x14ac:dyDescent="0.45">
      <c r="A653" s="7" t="s">
        <v>95</v>
      </c>
    </row>
    <row r="654" spans="1:9" x14ac:dyDescent="0.45">
      <c r="B654" s="20" t="s">
        <v>585</v>
      </c>
      <c r="C654" s="20" t="s">
        <v>233</v>
      </c>
      <c r="D654" s="20" t="s">
        <v>739</v>
      </c>
      <c r="E654" s="20" t="s">
        <v>451</v>
      </c>
      <c r="F654" s="20" t="s">
        <v>740</v>
      </c>
      <c r="G654" s="20" t="s">
        <v>218</v>
      </c>
      <c r="H654" s="21">
        <v>742</v>
      </c>
      <c r="I654" s="21">
        <v>742</v>
      </c>
    </row>
    <row r="655" spans="1:9" x14ac:dyDescent="0.45">
      <c r="A655" s="14" t="s">
        <v>741</v>
      </c>
      <c r="H655" s="22">
        <f>H654</f>
        <v>742</v>
      </c>
    </row>
    <row r="656" spans="1:9" x14ac:dyDescent="0.45">
      <c r="A656" s="7" t="s">
        <v>96</v>
      </c>
    </row>
    <row r="657" spans="1:9" x14ac:dyDescent="0.45">
      <c r="B657" s="20" t="s">
        <v>463</v>
      </c>
      <c r="C657" s="20" t="s">
        <v>233</v>
      </c>
      <c r="D657" s="20" t="s">
        <v>234</v>
      </c>
      <c r="E657" s="20" t="s">
        <v>329</v>
      </c>
      <c r="F657" s="20" t="s">
        <v>742</v>
      </c>
      <c r="G657" s="20" t="s">
        <v>218</v>
      </c>
      <c r="H657" s="21">
        <v>12.01</v>
      </c>
      <c r="I657" s="21">
        <v>12.01</v>
      </c>
    </row>
    <row r="658" spans="1:9" x14ac:dyDescent="0.45">
      <c r="B658" s="20" t="s">
        <v>463</v>
      </c>
      <c r="C658" s="20" t="s">
        <v>233</v>
      </c>
      <c r="D658" s="20" t="s">
        <v>234</v>
      </c>
      <c r="E658" s="20" t="s">
        <v>327</v>
      </c>
      <c r="F658" s="20" t="s">
        <v>331</v>
      </c>
      <c r="G658" s="20" t="s">
        <v>218</v>
      </c>
      <c r="H658" s="21">
        <v>161.57</v>
      </c>
      <c r="I658" s="21">
        <v>173.57999999999998</v>
      </c>
    </row>
    <row r="659" spans="1:9" x14ac:dyDescent="0.45">
      <c r="B659" s="20" t="s">
        <v>439</v>
      </c>
      <c r="C659" s="20" t="s">
        <v>233</v>
      </c>
      <c r="D659" s="20" t="s">
        <v>284</v>
      </c>
      <c r="E659" s="20" t="s">
        <v>329</v>
      </c>
      <c r="F659" s="20" t="s">
        <v>742</v>
      </c>
      <c r="G659" s="20" t="s">
        <v>218</v>
      </c>
      <c r="H659" s="21">
        <v>11.73</v>
      </c>
      <c r="I659" s="21">
        <v>185.30999999999997</v>
      </c>
    </row>
    <row r="660" spans="1:9" x14ac:dyDescent="0.45">
      <c r="B660" s="20" t="s">
        <v>439</v>
      </c>
      <c r="C660" s="20" t="s">
        <v>233</v>
      </c>
      <c r="D660" s="20" t="s">
        <v>284</v>
      </c>
      <c r="E660" s="20" t="s">
        <v>327</v>
      </c>
      <c r="F660" s="20" t="s">
        <v>331</v>
      </c>
      <c r="G660" s="20" t="s">
        <v>218</v>
      </c>
      <c r="H660" s="21">
        <v>162.47</v>
      </c>
      <c r="I660" s="21">
        <v>347.78</v>
      </c>
    </row>
    <row r="661" spans="1:9" x14ac:dyDescent="0.45">
      <c r="B661" s="20" t="s">
        <v>565</v>
      </c>
      <c r="C661" s="20" t="s">
        <v>233</v>
      </c>
      <c r="D661" s="20" t="s">
        <v>284</v>
      </c>
      <c r="E661" s="20" t="s">
        <v>329</v>
      </c>
      <c r="F661" s="20" t="s">
        <v>742</v>
      </c>
      <c r="G661" s="20" t="s">
        <v>218</v>
      </c>
      <c r="H661" s="21">
        <v>11.6</v>
      </c>
      <c r="I661" s="21">
        <v>359.38</v>
      </c>
    </row>
    <row r="662" spans="1:9" x14ac:dyDescent="0.45">
      <c r="B662" s="20" t="s">
        <v>565</v>
      </c>
      <c r="C662" s="20" t="s">
        <v>233</v>
      </c>
      <c r="D662" s="20" t="s">
        <v>284</v>
      </c>
      <c r="E662" s="20" t="s">
        <v>327</v>
      </c>
      <c r="F662" s="20" t="s">
        <v>331</v>
      </c>
      <c r="G662" s="20" t="s">
        <v>218</v>
      </c>
      <c r="H662" s="21">
        <v>162.5</v>
      </c>
      <c r="I662" s="21">
        <v>521.88</v>
      </c>
    </row>
    <row r="663" spans="1:9" x14ac:dyDescent="0.45">
      <c r="B663" s="20" t="s">
        <v>570</v>
      </c>
      <c r="C663" s="20" t="s">
        <v>233</v>
      </c>
      <c r="D663" s="20" t="s">
        <v>234</v>
      </c>
      <c r="E663" s="20" t="s">
        <v>329</v>
      </c>
      <c r="F663" s="20" t="s">
        <v>742</v>
      </c>
      <c r="G663" s="20" t="s">
        <v>218</v>
      </c>
      <c r="H663" s="21">
        <v>11.72</v>
      </c>
      <c r="I663" s="21">
        <v>533.6</v>
      </c>
    </row>
    <row r="664" spans="1:9" x14ac:dyDescent="0.45">
      <c r="B664" s="20" t="s">
        <v>570</v>
      </c>
      <c r="C664" s="20" t="s">
        <v>233</v>
      </c>
      <c r="D664" s="20" t="s">
        <v>234</v>
      </c>
      <c r="E664" s="20" t="s">
        <v>327</v>
      </c>
      <c r="F664" s="20" t="s">
        <v>331</v>
      </c>
      <c r="G664" s="20" t="s">
        <v>218</v>
      </c>
      <c r="H664" s="21">
        <v>285.57</v>
      </c>
      <c r="I664" s="21">
        <v>819.17000000000007</v>
      </c>
    </row>
    <row r="665" spans="1:9" x14ac:dyDescent="0.45">
      <c r="B665" s="20" t="s">
        <v>571</v>
      </c>
      <c r="C665" s="20" t="s">
        <v>233</v>
      </c>
      <c r="D665" s="20" t="s">
        <v>284</v>
      </c>
      <c r="E665" s="20" t="s">
        <v>329</v>
      </c>
      <c r="F665" s="20" t="s">
        <v>175</v>
      </c>
      <c r="G665" s="20" t="s">
        <v>218</v>
      </c>
      <c r="H665" s="21">
        <v>11.72</v>
      </c>
      <c r="I665" s="21">
        <v>830.8900000000001</v>
      </c>
    </row>
    <row r="666" spans="1:9" x14ac:dyDescent="0.45">
      <c r="B666" s="20" t="s">
        <v>571</v>
      </c>
      <c r="C666" s="20" t="s">
        <v>233</v>
      </c>
      <c r="D666" s="20" t="s">
        <v>284</v>
      </c>
      <c r="E666" s="20" t="s">
        <v>327</v>
      </c>
      <c r="F666" s="20" t="s">
        <v>175</v>
      </c>
      <c r="G666" s="20" t="s">
        <v>218</v>
      </c>
      <c r="H666" s="21">
        <v>162.5</v>
      </c>
      <c r="I666" s="21">
        <v>993.3900000000001</v>
      </c>
    </row>
    <row r="667" spans="1:9" x14ac:dyDescent="0.45">
      <c r="B667" s="20" t="s">
        <v>676</v>
      </c>
      <c r="C667" s="20" t="s">
        <v>233</v>
      </c>
      <c r="D667" s="20" t="s">
        <v>284</v>
      </c>
      <c r="E667" s="20" t="s">
        <v>329</v>
      </c>
      <c r="F667" s="20" t="s">
        <v>742</v>
      </c>
      <c r="G667" s="20" t="s">
        <v>218</v>
      </c>
      <c r="H667" s="21">
        <v>11.72</v>
      </c>
      <c r="I667" s="21">
        <v>1005.1100000000001</v>
      </c>
    </row>
    <row r="668" spans="1:9" x14ac:dyDescent="0.45">
      <c r="B668" s="20" t="s">
        <v>283</v>
      </c>
      <c r="C668" s="20" t="s">
        <v>233</v>
      </c>
      <c r="D668" s="20" t="s">
        <v>284</v>
      </c>
      <c r="E668" s="20" t="s">
        <v>327</v>
      </c>
      <c r="F668" s="20" t="s">
        <v>328</v>
      </c>
      <c r="G668" s="20" t="s">
        <v>218</v>
      </c>
      <c r="H668" s="21">
        <v>162.5</v>
      </c>
      <c r="I668" s="21">
        <v>1167.6100000000001</v>
      </c>
    </row>
    <row r="669" spans="1:9" x14ac:dyDescent="0.45">
      <c r="B669" s="20" t="s">
        <v>283</v>
      </c>
      <c r="C669" s="20" t="s">
        <v>233</v>
      </c>
      <c r="D669" s="20" t="s">
        <v>284</v>
      </c>
      <c r="E669" s="20" t="s">
        <v>329</v>
      </c>
      <c r="F669" s="20" t="s">
        <v>330</v>
      </c>
      <c r="G669" s="20" t="s">
        <v>218</v>
      </c>
      <c r="H669" s="21">
        <v>23.32</v>
      </c>
      <c r="I669" s="21">
        <v>1190.93</v>
      </c>
    </row>
    <row r="670" spans="1:9" x14ac:dyDescent="0.45">
      <c r="B670" s="20" t="s">
        <v>283</v>
      </c>
      <c r="C670" s="20" t="s">
        <v>233</v>
      </c>
      <c r="D670" s="20" t="s">
        <v>234</v>
      </c>
      <c r="E670" s="20" t="s">
        <v>327</v>
      </c>
      <c r="F670" s="20" t="s">
        <v>331</v>
      </c>
      <c r="G670" s="20" t="s">
        <v>218</v>
      </c>
      <c r="H670" s="21">
        <v>164.13</v>
      </c>
      <c r="I670" s="21">
        <v>1355.06</v>
      </c>
    </row>
    <row r="671" spans="1:9" x14ac:dyDescent="0.45">
      <c r="A671" s="14" t="s">
        <v>332</v>
      </c>
      <c r="H671" s="22">
        <f>H657+H658+H659+H660+H661+H662+H663+H664+H665+H666+H667+H668+H669+H670</f>
        <v>1355.06</v>
      </c>
    </row>
    <row r="672" spans="1:9" x14ac:dyDescent="0.45">
      <c r="A672" s="15" t="s">
        <v>333</v>
      </c>
      <c r="H672" s="22">
        <f>H643+H652+H655+H671</f>
        <v>150833.92000000001</v>
      </c>
    </row>
    <row r="673" spans="1:9" x14ac:dyDescent="0.45">
      <c r="A673" s="7" t="s">
        <v>98</v>
      </c>
    </row>
    <row r="674" spans="1:9" x14ac:dyDescent="0.45">
      <c r="A674" s="7" t="s">
        <v>99</v>
      </c>
    </row>
    <row r="675" spans="1:9" x14ac:dyDescent="0.45">
      <c r="A675" s="7" t="s">
        <v>100</v>
      </c>
    </row>
    <row r="676" spans="1:9" x14ac:dyDescent="0.45">
      <c r="A676" s="7" t="s">
        <v>101</v>
      </c>
    </row>
    <row r="677" spans="1:9" x14ac:dyDescent="0.45">
      <c r="B677" s="20" t="s">
        <v>588</v>
      </c>
      <c r="C677" s="20" t="s">
        <v>233</v>
      </c>
      <c r="D677" s="20" t="s">
        <v>743</v>
      </c>
      <c r="E677" s="20" t="s">
        <v>744</v>
      </c>
      <c r="F677" s="20" t="s">
        <v>745</v>
      </c>
      <c r="G677" s="20" t="s">
        <v>218</v>
      </c>
      <c r="H677" s="21">
        <v>2634</v>
      </c>
      <c r="I677" s="21">
        <v>2634</v>
      </c>
    </row>
    <row r="678" spans="1:9" x14ac:dyDescent="0.45">
      <c r="A678" s="27" t="s">
        <v>746</v>
      </c>
      <c r="H678" s="22">
        <f>H677</f>
        <v>2634</v>
      </c>
    </row>
    <row r="679" spans="1:9" x14ac:dyDescent="0.45">
      <c r="A679" s="7" t="s">
        <v>102</v>
      </c>
    </row>
    <row r="680" spans="1:9" x14ac:dyDescent="0.45">
      <c r="B680" s="20" t="s">
        <v>588</v>
      </c>
      <c r="C680" s="20" t="s">
        <v>233</v>
      </c>
      <c r="D680" s="20" t="s">
        <v>747</v>
      </c>
      <c r="E680" s="20" t="s">
        <v>335</v>
      </c>
      <c r="F680" s="20" t="s">
        <v>336</v>
      </c>
      <c r="G680" s="20" t="s">
        <v>218</v>
      </c>
      <c r="H680" s="21">
        <v>140</v>
      </c>
      <c r="I680" s="21">
        <v>140</v>
      </c>
    </row>
    <row r="681" spans="1:9" x14ac:dyDescent="0.45">
      <c r="B681" s="20" t="s">
        <v>484</v>
      </c>
      <c r="C681" s="20" t="s">
        <v>233</v>
      </c>
      <c r="D681" s="20" t="s">
        <v>748</v>
      </c>
      <c r="E681" s="20" t="s">
        <v>387</v>
      </c>
      <c r="F681" s="20" t="s">
        <v>749</v>
      </c>
      <c r="G681" s="20" t="s">
        <v>218</v>
      </c>
      <c r="H681" s="21">
        <v>42.54</v>
      </c>
      <c r="I681" s="21">
        <v>182.54</v>
      </c>
    </row>
    <row r="682" spans="1:9" x14ac:dyDescent="0.45">
      <c r="B682" s="20" t="s">
        <v>484</v>
      </c>
      <c r="C682" s="20" t="s">
        <v>233</v>
      </c>
      <c r="D682" s="20" t="s">
        <v>750</v>
      </c>
      <c r="E682" s="20" t="s">
        <v>335</v>
      </c>
      <c r="F682" s="20" t="s">
        <v>336</v>
      </c>
      <c r="G682" s="20" t="s">
        <v>218</v>
      </c>
      <c r="H682" s="21">
        <v>280</v>
      </c>
      <c r="I682" s="21">
        <v>462.53999999999996</v>
      </c>
    </row>
    <row r="683" spans="1:9" x14ac:dyDescent="0.45">
      <c r="B683" s="20" t="s">
        <v>247</v>
      </c>
      <c r="C683" s="20" t="s">
        <v>233</v>
      </c>
      <c r="D683" s="20" t="s">
        <v>334</v>
      </c>
      <c r="E683" s="20" t="s">
        <v>335</v>
      </c>
      <c r="F683" s="20" t="s">
        <v>336</v>
      </c>
      <c r="G683" s="20" t="s">
        <v>218</v>
      </c>
      <c r="H683" s="21">
        <v>350</v>
      </c>
      <c r="I683" s="21">
        <v>812.54</v>
      </c>
    </row>
    <row r="684" spans="1:9" x14ac:dyDescent="0.45">
      <c r="A684" s="27" t="s">
        <v>337</v>
      </c>
      <c r="H684" s="22">
        <f>H680+H681+H682+H683</f>
        <v>812.54</v>
      </c>
    </row>
    <row r="685" spans="1:9" x14ac:dyDescent="0.45">
      <c r="A685" s="7" t="s">
        <v>103</v>
      </c>
    </row>
    <row r="686" spans="1:9" x14ac:dyDescent="0.45">
      <c r="B686" s="20" t="s">
        <v>435</v>
      </c>
      <c r="C686" s="20" t="s">
        <v>233</v>
      </c>
      <c r="D686" s="20" t="s">
        <v>751</v>
      </c>
      <c r="E686" s="20" t="s">
        <v>339</v>
      </c>
      <c r="F686" s="20" t="s">
        <v>340</v>
      </c>
      <c r="G686" s="20" t="s">
        <v>218</v>
      </c>
      <c r="H686" s="21">
        <v>27.98</v>
      </c>
      <c r="I686" s="21">
        <v>27.98</v>
      </c>
    </row>
    <row r="687" spans="1:9" x14ac:dyDescent="0.45">
      <c r="B687" s="20" t="s">
        <v>435</v>
      </c>
      <c r="C687" s="20" t="s">
        <v>233</v>
      </c>
      <c r="D687" s="20" t="s">
        <v>752</v>
      </c>
      <c r="E687" s="20" t="s">
        <v>342</v>
      </c>
      <c r="F687" s="20" t="s">
        <v>175</v>
      </c>
      <c r="G687" s="20" t="s">
        <v>218</v>
      </c>
      <c r="H687" s="21">
        <v>209.94</v>
      </c>
      <c r="I687" s="21">
        <v>237.92</v>
      </c>
    </row>
    <row r="688" spans="1:9" x14ac:dyDescent="0.45">
      <c r="B688" s="20" t="s">
        <v>435</v>
      </c>
      <c r="C688" s="20" t="s">
        <v>233</v>
      </c>
      <c r="D688" s="20" t="s">
        <v>753</v>
      </c>
      <c r="E688" s="20" t="s">
        <v>754</v>
      </c>
      <c r="F688" s="20" t="s">
        <v>755</v>
      </c>
      <c r="G688" s="20" t="s">
        <v>218</v>
      </c>
      <c r="H688" s="21">
        <v>485</v>
      </c>
      <c r="I688" s="21">
        <v>722.92</v>
      </c>
    </row>
    <row r="689" spans="1:9" x14ac:dyDescent="0.45">
      <c r="B689" s="20" t="s">
        <v>435</v>
      </c>
      <c r="C689" s="20" t="s">
        <v>233</v>
      </c>
      <c r="D689" s="20" t="s">
        <v>668</v>
      </c>
      <c r="E689" s="20" t="s">
        <v>0</v>
      </c>
      <c r="F689" s="20" t="s">
        <v>669</v>
      </c>
      <c r="G689" s="20" t="s">
        <v>218</v>
      </c>
      <c r="H689" s="21">
        <v>12</v>
      </c>
      <c r="I689" s="21">
        <v>734.92</v>
      </c>
    </row>
    <row r="690" spans="1:9" x14ac:dyDescent="0.45">
      <c r="B690" s="20" t="s">
        <v>439</v>
      </c>
      <c r="C690" s="20" t="s">
        <v>233</v>
      </c>
      <c r="D690" s="20" t="s">
        <v>756</v>
      </c>
      <c r="E690" s="20" t="s">
        <v>339</v>
      </c>
      <c r="F690" s="20" t="s">
        <v>340</v>
      </c>
      <c r="G690" s="20" t="s">
        <v>218</v>
      </c>
      <c r="H690" s="21">
        <v>179.17</v>
      </c>
      <c r="I690" s="21">
        <v>914.08999999999992</v>
      </c>
    </row>
    <row r="691" spans="1:9" x14ac:dyDescent="0.45">
      <c r="B691" s="20" t="s">
        <v>439</v>
      </c>
      <c r="C691" s="20" t="s">
        <v>233</v>
      </c>
      <c r="D691" s="20" t="s">
        <v>757</v>
      </c>
      <c r="E691" s="20" t="s">
        <v>342</v>
      </c>
      <c r="F691" s="20" t="s">
        <v>758</v>
      </c>
      <c r="G691" s="20" t="s">
        <v>218</v>
      </c>
      <c r="H691" s="21">
        <v>141.65</v>
      </c>
      <c r="I691" s="21">
        <v>1055.74</v>
      </c>
    </row>
    <row r="692" spans="1:9" x14ac:dyDescent="0.45">
      <c r="B692" s="20" t="s">
        <v>585</v>
      </c>
      <c r="C692" s="20" t="s">
        <v>233</v>
      </c>
      <c r="D692" s="20" t="s">
        <v>759</v>
      </c>
      <c r="E692" s="20" t="s">
        <v>339</v>
      </c>
      <c r="F692" s="20" t="s">
        <v>340</v>
      </c>
      <c r="G692" s="20" t="s">
        <v>218</v>
      </c>
      <c r="H692" s="21">
        <v>60.97</v>
      </c>
      <c r="I692" s="21">
        <v>1116.71</v>
      </c>
    </row>
    <row r="693" spans="1:9" x14ac:dyDescent="0.45">
      <c r="B693" s="20" t="s">
        <v>585</v>
      </c>
      <c r="C693" s="20" t="s">
        <v>233</v>
      </c>
      <c r="D693" s="20" t="s">
        <v>760</v>
      </c>
      <c r="E693" s="20" t="s">
        <v>342</v>
      </c>
      <c r="F693" s="20" t="s">
        <v>175</v>
      </c>
      <c r="G693" s="20" t="s">
        <v>218</v>
      </c>
      <c r="H693" s="21">
        <v>99.88</v>
      </c>
      <c r="I693" s="21">
        <v>1216.5900000000001</v>
      </c>
    </row>
    <row r="694" spans="1:9" x14ac:dyDescent="0.45">
      <c r="B694" s="20" t="s">
        <v>588</v>
      </c>
      <c r="C694" s="20" t="s">
        <v>233</v>
      </c>
      <c r="D694" s="20" t="s">
        <v>761</v>
      </c>
      <c r="E694" s="20" t="s">
        <v>342</v>
      </c>
      <c r="F694" s="20" t="s">
        <v>175</v>
      </c>
      <c r="G694" s="20" t="s">
        <v>218</v>
      </c>
      <c r="H694" s="21">
        <v>209</v>
      </c>
      <c r="I694" s="21">
        <v>1425.5900000000001</v>
      </c>
    </row>
    <row r="695" spans="1:9" x14ac:dyDescent="0.45">
      <c r="B695" s="20" t="s">
        <v>484</v>
      </c>
      <c r="C695" s="20" t="s">
        <v>233</v>
      </c>
      <c r="D695" s="20" t="s">
        <v>762</v>
      </c>
      <c r="E695" s="20" t="s">
        <v>339</v>
      </c>
      <c r="F695" s="20" t="s">
        <v>340</v>
      </c>
      <c r="G695" s="20" t="s">
        <v>218</v>
      </c>
      <c r="H695" s="21">
        <v>117.36</v>
      </c>
      <c r="I695" s="21">
        <v>1542.95</v>
      </c>
    </row>
    <row r="696" spans="1:9" x14ac:dyDescent="0.45">
      <c r="B696" s="20" t="s">
        <v>484</v>
      </c>
      <c r="C696" s="20" t="s">
        <v>233</v>
      </c>
      <c r="D696" s="20" t="s">
        <v>763</v>
      </c>
      <c r="E696" s="20" t="s">
        <v>342</v>
      </c>
      <c r="F696" s="20" t="s">
        <v>343</v>
      </c>
      <c r="G696" s="20" t="s">
        <v>218</v>
      </c>
      <c r="H696" s="21">
        <v>8.3800000000000008</v>
      </c>
      <c r="I696" s="21">
        <v>1551.3300000000002</v>
      </c>
    </row>
    <row r="697" spans="1:9" x14ac:dyDescent="0.45">
      <c r="B697" s="20" t="s">
        <v>484</v>
      </c>
      <c r="C697" s="20" t="s">
        <v>233</v>
      </c>
      <c r="D697" s="20" t="s">
        <v>764</v>
      </c>
      <c r="E697" s="20" t="s">
        <v>765</v>
      </c>
      <c r="F697" s="20" t="s">
        <v>766</v>
      </c>
      <c r="G697" s="20" t="s">
        <v>218</v>
      </c>
      <c r="H697" s="21">
        <v>21.49</v>
      </c>
      <c r="I697" s="21">
        <v>1572.8200000000002</v>
      </c>
    </row>
    <row r="698" spans="1:9" x14ac:dyDescent="0.45">
      <c r="B698" s="20" t="s">
        <v>247</v>
      </c>
      <c r="C698" s="20" t="s">
        <v>233</v>
      </c>
      <c r="D698" s="20" t="s">
        <v>338</v>
      </c>
      <c r="E698" s="20" t="s">
        <v>339</v>
      </c>
      <c r="F698" s="20" t="s">
        <v>340</v>
      </c>
      <c r="G698" s="20" t="s">
        <v>218</v>
      </c>
      <c r="H698" s="21">
        <v>284.99</v>
      </c>
      <c r="I698" s="21">
        <v>1857.8100000000002</v>
      </c>
    </row>
    <row r="699" spans="1:9" x14ac:dyDescent="0.45">
      <c r="B699" s="20" t="s">
        <v>247</v>
      </c>
      <c r="C699" s="20" t="s">
        <v>233</v>
      </c>
      <c r="D699" s="20" t="s">
        <v>341</v>
      </c>
      <c r="E699" s="20" t="s">
        <v>342</v>
      </c>
      <c r="F699" s="20" t="s">
        <v>343</v>
      </c>
      <c r="G699" s="20" t="s">
        <v>218</v>
      </c>
      <c r="H699" s="21">
        <v>47.55</v>
      </c>
      <c r="I699" s="21">
        <v>1905.3600000000001</v>
      </c>
    </row>
    <row r="700" spans="1:9" x14ac:dyDescent="0.45">
      <c r="A700" s="27" t="s">
        <v>344</v>
      </c>
      <c r="H700" s="22">
        <f>H686+H687+H688+H689+H690+H691+H692+H693+H694+H695+H696+H697+H698+H699</f>
        <v>1905.3600000000001</v>
      </c>
    </row>
    <row r="701" spans="1:9" x14ac:dyDescent="0.45">
      <c r="A701" s="7" t="s">
        <v>104</v>
      </c>
    </row>
    <row r="702" spans="1:9" x14ac:dyDescent="0.45">
      <c r="B702" s="20" t="s">
        <v>463</v>
      </c>
      <c r="C702" s="20" t="s">
        <v>233</v>
      </c>
      <c r="D702" s="20" t="s">
        <v>234</v>
      </c>
      <c r="E702" s="20" t="s">
        <v>285</v>
      </c>
      <c r="F702" s="20" t="s">
        <v>767</v>
      </c>
      <c r="G702" s="20" t="s">
        <v>218</v>
      </c>
      <c r="H702" s="21">
        <v>20.5</v>
      </c>
      <c r="I702" s="21">
        <v>20.5</v>
      </c>
    </row>
    <row r="703" spans="1:9" x14ac:dyDescent="0.45">
      <c r="B703" s="20" t="s">
        <v>439</v>
      </c>
      <c r="C703" s="20" t="s">
        <v>233</v>
      </c>
      <c r="D703" s="20" t="s">
        <v>284</v>
      </c>
      <c r="E703" s="20" t="s">
        <v>285</v>
      </c>
      <c r="F703" s="20" t="s">
        <v>767</v>
      </c>
      <c r="G703" s="20" t="s">
        <v>218</v>
      </c>
      <c r="H703" s="21">
        <v>20.52</v>
      </c>
      <c r="I703" s="21">
        <v>41.019999999999996</v>
      </c>
    </row>
    <row r="704" spans="1:9" x14ac:dyDescent="0.45">
      <c r="B704" s="20" t="s">
        <v>565</v>
      </c>
      <c r="C704" s="20" t="s">
        <v>233</v>
      </c>
      <c r="D704" s="20" t="s">
        <v>284</v>
      </c>
      <c r="E704" s="20" t="s">
        <v>285</v>
      </c>
      <c r="F704" s="20" t="s">
        <v>767</v>
      </c>
      <c r="G704" s="20" t="s">
        <v>218</v>
      </c>
      <c r="H704" s="21">
        <v>19.79</v>
      </c>
      <c r="I704" s="21">
        <v>60.809999999999995</v>
      </c>
    </row>
    <row r="705" spans="1:9" x14ac:dyDescent="0.45">
      <c r="B705" s="20" t="s">
        <v>570</v>
      </c>
      <c r="C705" s="20" t="s">
        <v>233</v>
      </c>
      <c r="D705" s="20" t="s">
        <v>234</v>
      </c>
      <c r="E705" s="20" t="s">
        <v>285</v>
      </c>
      <c r="F705" s="20" t="s">
        <v>767</v>
      </c>
      <c r="G705" s="20" t="s">
        <v>218</v>
      </c>
      <c r="H705" s="21">
        <v>20.47</v>
      </c>
      <c r="I705" s="21">
        <v>81.28</v>
      </c>
    </row>
    <row r="706" spans="1:9" x14ac:dyDescent="0.45">
      <c r="B706" s="20" t="s">
        <v>571</v>
      </c>
      <c r="C706" s="20" t="s">
        <v>233</v>
      </c>
      <c r="D706" s="20" t="s">
        <v>284</v>
      </c>
      <c r="E706" s="20" t="s">
        <v>285</v>
      </c>
      <c r="F706" s="20" t="s">
        <v>767</v>
      </c>
      <c r="G706" s="20" t="s">
        <v>218</v>
      </c>
      <c r="H706" s="21">
        <v>20.47</v>
      </c>
      <c r="I706" s="21">
        <v>101.75</v>
      </c>
    </row>
    <row r="707" spans="1:9" x14ac:dyDescent="0.45">
      <c r="B707" s="20" t="s">
        <v>283</v>
      </c>
      <c r="C707" s="20" t="s">
        <v>233</v>
      </c>
      <c r="D707" s="20" t="s">
        <v>284</v>
      </c>
      <c r="E707" s="20" t="s">
        <v>285</v>
      </c>
      <c r="F707" s="20" t="s">
        <v>345</v>
      </c>
      <c r="G707" s="20" t="s">
        <v>218</v>
      </c>
      <c r="H707" s="21">
        <v>40.86</v>
      </c>
      <c r="I707" s="21">
        <v>142.61000000000001</v>
      </c>
    </row>
    <row r="708" spans="1:9" x14ac:dyDescent="0.45">
      <c r="A708" s="27" t="s">
        <v>106</v>
      </c>
      <c r="H708" s="22">
        <f>H702+H703+H704+H705+H706+H707</f>
        <v>142.61000000000001</v>
      </c>
    </row>
    <row r="709" spans="1:9" x14ac:dyDescent="0.45">
      <c r="A709" s="7" t="s">
        <v>105</v>
      </c>
    </row>
    <row r="710" spans="1:9" x14ac:dyDescent="0.45">
      <c r="B710" s="20" t="s">
        <v>463</v>
      </c>
      <c r="C710" s="20" t="s">
        <v>233</v>
      </c>
      <c r="D710" s="20" t="s">
        <v>234</v>
      </c>
      <c r="E710" s="20" t="s">
        <v>285</v>
      </c>
      <c r="F710" s="20" t="s">
        <v>768</v>
      </c>
      <c r="G710" s="20" t="s">
        <v>218</v>
      </c>
      <c r="H710" s="21">
        <v>85.94</v>
      </c>
      <c r="I710" s="21">
        <v>85.94</v>
      </c>
    </row>
    <row r="711" spans="1:9" x14ac:dyDescent="0.45">
      <c r="B711" s="20" t="s">
        <v>439</v>
      </c>
      <c r="C711" s="20" t="s">
        <v>233</v>
      </c>
      <c r="D711" s="20" t="s">
        <v>284</v>
      </c>
      <c r="E711" s="20" t="s">
        <v>285</v>
      </c>
      <c r="F711" s="20" t="s">
        <v>768</v>
      </c>
      <c r="G711" s="20" t="s">
        <v>218</v>
      </c>
      <c r="H711" s="21">
        <v>85.19</v>
      </c>
      <c r="I711" s="21">
        <v>171.13</v>
      </c>
    </row>
    <row r="712" spans="1:9" x14ac:dyDescent="0.45">
      <c r="B712" s="20" t="s">
        <v>565</v>
      </c>
      <c r="C712" s="20" t="s">
        <v>233</v>
      </c>
      <c r="D712" s="20" t="s">
        <v>284</v>
      </c>
      <c r="E712" s="20" t="s">
        <v>285</v>
      </c>
      <c r="F712" s="20" t="s">
        <v>768</v>
      </c>
      <c r="G712" s="20" t="s">
        <v>218</v>
      </c>
      <c r="H712" s="21">
        <v>85.19</v>
      </c>
      <c r="I712" s="21">
        <v>256.32</v>
      </c>
    </row>
    <row r="713" spans="1:9" x14ac:dyDescent="0.45">
      <c r="B713" s="20" t="s">
        <v>570</v>
      </c>
      <c r="C713" s="20" t="s">
        <v>233</v>
      </c>
      <c r="D713" s="20" t="s">
        <v>234</v>
      </c>
      <c r="E713" s="20" t="s">
        <v>285</v>
      </c>
      <c r="F713" s="20" t="s">
        <v>768</v>
      </c>
      <c r="G713" s="20" t="s">
        <v>218</v>
      </c>
      <c r="H713" s="21">
        <v>85.19</v>
      </c>
      <c r="I713" s="21">
        <v>341.51</v>
      </c>
    </row>
    <row r="714" spans="1:9" x14ac:dyDescent="0.45">
      <c r="B714" s="20" t="s">
        <v>571</v>
      </c>
      <c r="C714" s="20" t="s">
        <v>233</v>
      </c>
      <c r="D714" s="20" t="s">
        <v>284</v>
      </c>
      <c r="E714" s="20" t="s">
        <v>285</v>
      </c>
      <c r="F714" s="20" t="s">
        <v>768</v>
      </c>
      <c r="G714" s="20" t="s">
        <v>218</v>
      </c>
      <c r="H714" s="21">
        <v>85.19</v>
      </c>
      <c r="I714" s="21">
        <v>426.7</v>
      </c>
    </row>
    <row r="715" spans="1:9" x14ac:dyDescent="0.45">
      <c r="B715" s="20" t="s">
        <v>283</v>
      </c>
      <c r="C715" s="20" t="s">
        <v>233</v>
      </c>
      <c r="D715" s="20" t="s">
        <v>284</v>
      </c>
      <c r="E715" s="20" t="s">
        <v>285</v>
      </c>
      <c r="F715" s="20" t="s">
        <v>346</v>
      </c>
      <c r="G715" s="20" t="s">
        <v>218</v>
      </c>
      <c r="H715" s="21">
        <v>170.38</v>
      </c>
      <c r="I715" s="21">
        <v>597.07999999999993</v>
      </c>
    </row>
    <row r="716" spans="1:9" x14ac:dyDescent="0.45">
      <c r="A716" s="28" t="s">
        <v>347</v>
      </c>
      <c r="H716" s="22">
        <f>H710+H711+H712+H713+H714+H715</f>
        <v>597.07999999999993</v>
      </c>
    </row>
    <row r="717" spans="1:9" x14ac:dyDescent="0.45">
      <c r="A717" s="27" t="s">
        <v>348</v>
      </c>
      <c r="H717" s="22">
        <f>H708+H716</f>
        <v>739.68999999999994</v>
      </c>
    </row>
    <row r="718" spans="1:9" x14ac:dyDescent="0.45">
      <c r="A718" s="7" t="s">
        <v>107</v>
      </c>
    </row>
    <row r="719" spans="1:9" x14ac:dyDescent="0.45">
      <c r="B719" s="20" t="s">
        <v>463</v>
      </c>
      <c r="C719" s="20" t="s">
        <v>233</v>
      </c>
      <c r="D719" s="20" t="s">
        <v>234</v>
      </c>
      <c r="E719" s="20" t="s">
        <v>327</v>
      </c>
      <c r="F719" s="20" t="s">
        <v>350</v>
      </c>
      <c r="G719" s="20" t="s">
        <v>218</v>
      </c>
      <c r="H719" s="21">
        <v>588.91999999999996</v>
      </c>
      <c r="I719" s="21">
        <v>588.91999999999996</v>
      </c>
    </row>
    <row r="720" spans="1:9" x14ac:dyDescent="0.45">
      <c r="B720" s="20" t="s">
        <v>439</v>
      </c>
      <c r="C720" s="20" t="s">
        <v>233</v>
      </c>
      <c r="D720" s="20" t="s">
        <v>284</v>
      </c>
      <c r="E720" s="20" t="s">
        <v>327</v>
      </c>
      <c r="F720" s="20" t="s">
        <v>350</v>
      </c>
      <c r="G720" s="20" t="s">
        <v>218</v>
      </c>
      <c r="H720" s="21">
        <v>440.49</v>
      </c>
      <c r="I720" s="21">
        <v>1029.4099999999999</v>
      </c>
    </row>
    <row r="721" spans="1:9" x14ac:dyDescent="0.45">
      <c r="B721" s="20" t="s">
        <v>565</v>
      </c>
      <c r="C721" s="20" t="s">
        <v>233</v>
      </c>
      <c r="D721" s="20" t="s">
        <v>284</v>
      </c>
      <c r="E721" s="20" t="s">
        <v>327</v>
      </c>
      <c r="F721" s="20" t="s">
        <v>350</v>
      </c>
      <c r="G721" s="20" t="s">
        <v>218</v>
      </c>
      <c r="H721" s="21">
        <v>425.89</v>
      </c>
      <c r="I721" s="21">
        <v>1455.2999999999997</v>
      </c>
    </row>
    <row r="722" spans="1:9" x14ac:dyDescent="0.45">
      <c r="B722" s="20" t="s">
        <v>570</v>
      </c>
      <c r="C722" s="20" t="s">
        <v>233</v>
      </c>
      <c r="D722" s="20" t="s">
        <v>234</v>
      </c>
      <c r="E722" s="20" t="s">
        <v>327</v>
      </c>
      <c r="F722" s="20" t="s">
        <v>350</v>
      </c>
      <c r="G722" s="20" t="s">
        <v>218</v>
      </c>
      <c r="H722" s="21">
        <v>162.5</v>
      </c>
      <c r="I722" s="21">
        <v>1617.7999999999997</v>
      </c>
    </row>
    <row r="723" spans="1:9" x14ac:dyDescent="0.45">
      <c r="B723" s="20" t="s">
        <v>571</v>
      </c>
      <c r="C723" s="20" t="s">
        <v>233</v>
      </c>
      <c r="D723" s="20" t="s">
        <v>284</v>
      </c>
      <c r="E723" s="20" t="s">
        <v>327</v>
      </c>
      <c r="F723" s="20" t="s">
        <v>175</v>
      </c>
      <c r="G723" s="20" t="s">
        <v>218</v>
      </c>
      <c r="H723" s="21">
        <v>156.94999999999999</v>
      </c>
      <c r="I723" s="21">
        <v>1774.7499999999998</v>
      </c>
    </row>
    <row r="724" spans="1:9" x14ac:dyDescent="0.45">
      <c r="B724" s="20" t="s">
        <v>283</v>
      </c>
      <c r="C724" s="20" t="s">
        <v>233</v>
      </c>
      <c r="D724" s="20" t="s">
        <v>284</v>
      </c>
      <c r="E724" s="20" t="s">
        <v>327</v>
      </c>
      <c r="F724" s="20" t="s">
        <v>349</v>
      </c>
      <c r="G724" s="20" t="s">
        <v>218</v>
      </c>
      <c r="H724" s="21">
        <v>101.23</v>
      </c>
      <c r="I724" s="21">
        <v>1875.9799999999998</v>
      </c>
    </row>
    <row r="725" spans="1:9" x14ac:dyDescent="0.45">
      <c r="B725" s="20" t="s">
        <v>283</v>
      </c>
      <c r="C725" s="20" t="s">
        <v>233</v>
      </c>
      <c r="D725" s="20" t="s">
        <v>234</v>
      </c>
      <c r="E725" s="20" t="s">
        <v>327</v>
      </c>
      <c r="F725" s="20" t="s">
        <v>350</v>
      </c>
      <c r="G725" s="20" t="s">
        <v>218</v>
      </c>
      <c r="H725" s="21">
        <v>97.1</v>
      </c>
      <c r="I725" s="21">
        <v>1973.0799999999997</v>
      </c>
    </row>
    <row r="726" spans="1:9" x14ac:dyDescent="0.45">
      <c r="A726" s="27" t="s">
        <v>351</v>
      </c>
      <c r="H726" s="22">
        <f>H719+H720+H721+H722+H723+H724+H725</f>
        <v>1973.0799999999997</v>
      </c>
    </row>
    <row r="727" spans="1:9" x14ac:dyDescent="0.45">
      <c r="A727" s="17" t="s">
        <v>352</v>
      </c>
      <c r="H727" s="22">
        <f>H678+H684+H700+H717+H726</f>
        <v>8064.6699999999992</v>
      </c>
    </row>
    <row r="728" spans="1:9" x14ac:dyDescent="0.45">
      <c r="A728" s="14" t="s">
        <v>353</v>
      </c>
      <c r="H728" s="22">
        <f>H727</f>
        <v>8064.6699999999992</v>
      </c>
    </row>
    <row r="729" spans="1:9" x14ac:dyDescent="0.45">
      <c r="A729" s="7" t="s">
        <v>110</v>
      </c>
    </row>
    <row r="730" spans="1:9" x14ac:dyDescent="0.45">
      <c r="A730" s="7" t="s">
        <v>111</v>
      </c>
    </row>
    <row r="731" spans="1:9" x14ac:dyDescent="0.45">
      <c r="A731" s="7" t="s">
        <v>112</v>
      </c>
    </row>
    <row r="732" spans="1:9" x14ac:dyDescent="0.45">
      <c r="B732" s="20" t="s">
        <v>435</v>
      </c>
      <c r="C732" s="20" t="s">
        <v>233</v>
      </c>
      <c r="D732" s="20" t="s">
        <v>769</v>
      </c>
      <c r="E732" s="20" t="s">
        <v>355</v>
      </c>
      <c r="F732" s="20" t="s">
        <v>770</v>
      </c>
      <c r="G732" s="20" t="s">
        <v>218</v>
      </c>
      <c r="H732" s="21">
        <v>66.05</v>
      </c>
      <c r="I732" s="21">
        <v>66.05</v>
      </c>
    </row>
    <row r="733" spans="1:9" x14ac:dyDescent="0.45">
      <c r="B733" s="20" t="s">
        <v>439</v>
      </c>
      <c r="C733" s="20" t="s">
        <v>233</v>
      </c>
      <c r="D733" s="20" t="s">
        <v>771</v>
      </c>
      <c r="E733" s="20" t="s">
        <v>355</v>
      </c>
      <c r="F733" s="20" t="s">
        <v>770</v>
      </c>
      <c r="G733" s="20" t="s">
        <v>218</v>
      </c>
      <c r="H733" s="21">
        <v>66.05</v>
      </c>
      <c r="I733" s="21">
        <v>132.1</v>
      </c>
    </row>
    <row r="734" spans="1:9" x14ac:dyDescent="0.45">
      <c r="B734" s="20" t="s">
        <v>585</v>
      </c>
      <c r="C734" s="20" t="s">
        <v>233</v>
      </c>
      <c r="D734" s="20" t="s">
        <v>772</v>
      </c>
      <c r="E734" s="20" t="s">
        <v>355</v>
      </c>
      <c r="F734" s="20" t="s">
        <v>770</v>
      </c>
      <c r="G734" s="20" t="s">
        <v>218</v>
      </c>
      <c r="H734" s="21">
        <v>66.05</v>
      </c>
      <c r="I734" s="21">
        <v>198.14999999999998</v>
      </c>
    </row>
    <row r="735" spans="1:9" x14ac:dyDescent="0.45">
      <c r="B735" s="20" t="s">
        <v>540</v>
      </c>
      <c r="C735" s="20" t="s">
        <v>233</v>
      </c>
      <c r="D735" s="20" t="s">
        <v>773</v>
      </c>
      <c r="E735" s="20" t="s">
        <v>355</v>
      </c>
      <c r="F735" s="20" t="s">
        <v>770</v>
      </c>
      <c r="G735" s="20" t="s">
        <v>218</v>
      </c>
      <c r="H735" s="21">
        <v>66.010000000000005</v>
      </c>
      <c r="I735" s="21">
        <v>264.15999999999997</v>
      </c>
    </row>
    <row r="736" spans="1:9" x14ac:dyDescent="0.45">
      <c r="B736" s="20" t="s">
        <v>588</v>
      </c>
      <c r="C736" s="20" t="s">
        <v>233</v>
      </c>
      <c r="D736" s="20" t="s">
        <v>774</v>
      </c>
      <c r="E736" s="20" t="s">
        <v>355</v>
      </c>
      <c r="F736" s="20" t="s">
        <v>770</v>
      </c>
      <c r="G736" s="20" t="s">
        <v>218</v>
      </c>
      <c r="H736" s="21">
        <v>66.02</v>
      </c>
      <c r="I736" s="21">
        <v>330.17999999999995</v>
      </c>
    </row>
    <row r="737" spans="1:9" x14ac:dyDescent="0.45">
      <c r="B737" s="20" t="s">
        <v>484</v>
      </c>
      <c r="C737" s="20" t="s">
        <v>233</v>
      </c>
      <c r="D737" s="20" t="s">
        <v>775</v>
      </c>
      <c r="E737" s="20" t="s">
        <v>355</v>
      </c>
      <c r="F737" s="20" t="s">
        <v>770</v>
      </c>
      <c r="G737" s="20" t="s">
        <v>218</v>
      </c>
      <c r="H737" s="21">
        <v>66.02</v>
      </c>
      <c r="I737" s="21">
        <v>396.19999999999993</v>
      </c>
    </row>
    <row r="738" spans="1:9" x14ac:dyDescent="0.45">
      <c r="B738" s="20" t="s">
        <v>247</v>
      </c>
      <c r="C738" s="20" t="s">
        <v>233</v>
      </c>
      <c r="D738" s="20" t="s">
        <v>354</v>
      </c>
      <c r="E738" s="20" t="s">
        <v>355</v>
      </c>
      <c r="F738" s="20" t="s">
        <v>356</v>
      </c>
      <c r="G738" s="20" t="s">
        <v>218</v>
      </c>
      <c r="H738" s="21">
        <v>66.06</v>
      </c>
      <c r="I738" s="21">
        <v>462.25999999999993</v>
      </c>
    </row>
    <row r="739" spans="1:9" x14ac:dyDescent="0.45">
      <c r="A739" s="27" t="s">
        <v>357</v>
      </c>
      <c r="H739" s="22">
        <f>H732+H733+H734+H735+H736+H737+H738</f>
        <v>462.25999999999993</v>
      </c>
    </row>
    <row r="740" spans="1:9" x14ac:dyDescent="0.45">
      <c r="A740" s="7" t="s">
        <v>113</v>
      </c>
    </row>
    <row r="741" spans="1:9" x14ac:dyDescent="0.45">
      <c r="B741" s="20" t="s">
        <v>435</v>
      </c>
      <c r="C741" s="20" t="s">
        <v>233</v>
      </c>
      <c r="D741" s="20" t="s">
        <v>776</v>
      </c>
      <c r="E741" s="20" t="s">
        <v>777</v>
      </c>
      <c r="F741" s="20" t="s">
        <v>778</v>
      </c>
      <c r="G741" s="20" t="s">
        <v>218</v>
      </c>
      <c r="H741" s="21">
        <v>1051.77</v>
      </c>
      <c r="I741" s="21">
        <v>1051.77</v>
      </c>
    </row>
    <row r="742" spans="1:9" x14ac:dyDescent="0.45">
      <c r="B742" s="20" t="s">
        <v>439</v>
      </c>
      <c r="C742" s="20" t="s">
        <v>233</v>
      </c>
      <c r="D742" s="20" t="s">
        <v>779</v>
      </c>
      <c r="E742" s="20" t="s">
        <v>777</v>
      </c>
      <c r="F742" s="20" t="s">
        <v>780</v>
      </c>
      <c r="G742" s="20" t="s">
        <v>218</v>
      </c>
      <c r="H742" s="21">
        <v>1170.8900000000001</v>
      </c>
      <c r="I742" s="21">
        <v>2222.66</v>
      </c>
    </row>
    <row r="743" spans="1:9" x14ac:dyDescent="0.45">
      <c r="B743" s="20" t="s">
        <v>540</v>
      </c>
      <c r="C743" s="20" t="s">
        <v>233</v>
      </c>
      <c r="D743" s="20" t="s">
        <v>781</v>
      </c>
      <c r="E743" s="20" t="s">
        <v>777</v>
      </c>
      <c r="F743" s="20" t="s">
        <v>782</v>
      </c>
      <c r="G743" s="20" t="s">
        <v>218</v>
      </c>
      <c r="H743" s="21">
        <v>2130.04</v>
      </c>
      <c r="I743" s="21">
        <v>4352.7</v>
      </c>
    </row>
    <row r="744" spans="1:9" x14ac:dyDescent="0.45">
      <c r="B744" s="20" t="s">
        <v>484</v>
      </c>
      <c r="C744" s="20" t="s">
        <v>233</v>
      </c>
      <c r="D744" s="20" t="s">
        <v>783</v>
      </c>
      <c r="E744" s="20" t="s">
        <v>777</v>
      </c>
      <c r="F744" s="20" t="s">
        <v>784</v>
      </c>
      <c r="G744" s="20" t="s">
        <v>218</v>
      </c>
      <c r="H744" s="21">
        <v>2504.8000000000002</v>
      </c>
      <c r="I744" s="21">
        <v>6857.5</v>
      </c>
    </row>
    <row r="745" spans="1:9" x14ac:dyDescent="0.45">
      <c r="A745" s="27" t="s">
        <v>785</v>
      </c>
      <c r="H745" s="22">
        <f>H741+H742+H743+H744</f>
        <v>6857.5</v>
      </c>
    </row>
    <row r="746" spans="1:9" x14ac:dyDescent="0.45">
      <c r="A746" s="7" t="s">
        <v>114</v>
      </c>
    </row>
    <row r="747" spans="1:9" x14ac:dyDescent="0.45">
      <c r="B747" s="20" t="s">
        <v>435</v>
      </c>
      <c r="C747" s="20" t="s">
        <v>233</v>
      </c>
      <c r="D747" s="20" t="s">
        <v>786</v>
      </c>
      <c r="E747" s="20" t="s">
        <v>787</v>
      </c>
      <c r="F747" s="20" t="s">
        <v>788</v>
      </c>
      <c r="G747" s="20" t="s">
        <v>218</v>
      </c>
      <c r="H747" s="21">
        <v>35</v>
      </c>
      <c r="I747" s="21">
        <v>35</v>
      </c>
    </row>
    <row r="748" spans="1:9" x14ac:dyDescent="0.45">
      <c r="B748" s="20" t="s">
        <v>585</v>
      </c>
      <c r="C748" s="20" t="s">
        <v>233</v>
      </c>
      <c r="D748" s="20" t="s">
        <v>789</v>
      </c>
      <c r="E748" s="20" t="s">
        <v>790</v>
      </c>
      <c r="F748" s="20" t="s">
        <v>791</v>
      </c>
      <c r="G748" s="20" t="s">
        <v>218</v>
      </c>
      <c r="H748" s="21">
        <v>60</v>
      </c>
      <c r="I748" s="21">
        <v>95</v>
      </c>
    </row>
    <row r="749" spans="1:9" x14ac:dyDescent="0.45">
      <c r="B749" s="20" t="s">
        <v>540</v>
      </c>
      <c r="C749" s="20" t="s">
        <v>233</v>
      </c>
      <c r="D749" s="20" t="s">
        <v>792</v>
      </c>
      <c r="E749" s="20" t="s">
        <v>793</v>
      </c>
      <c r="F749" s="20" t="s">
        <v>788</v>
      </c>
      <c r="G749" s="20" t="s">
        <v>218</v>
      </c>
      <c r="H749" s="21">
        <v>148</v>
      </c>
      <c r="I749" s="21">
        <v>243</v>
      </c>
    </row>
    <row r="750" spans="1:9" x14ac:dyDescent="0.45">
      <c r="B750" s="20" t="s">
        <v>540</v>
      </c>
      <c r="C750" s="20" t="s">
        <v>233</v>
      </c>
      <c r="D750" s="20" t="s">
        <v>794</v>
      </c>
      <c r="E750" s="20" t="s">
        <v>787</v>
      </c>
      <c r="F750" s="20" t="s">
        <v>788</v>
      </c>
      <c r="G750" s="20" t="s">
        <v>218</v>
      </c>
      <c r="H750" s="21">
        <v>35</v>
      </c>
      <c r="I750" s="21">
        <v>278</v>
      </c>
    </row>
    <row r="751" spans="1:9" x14ac:dyDescent="0.45">
      <c r="A751" s="27" t="s">
        <v>795</v>
      </c>
      <c r="H751" s="22">
        <f>H747+H748+H749+H750</f>
        <v>278</v>
      </c>
    </row>
    <row r="752" spans="1:9" x14ac:dyDescent="0.45">
      <c r="A752" s="7" t="s">
        <v>115</v>
      </c>
    </row>
    <row r="753" spans="1:9" x14ac:dyDescent="0.45">
      <c r="B753" s="20" t="s">
        <v>540</v>
      </c>
      <c r="C753" s="20" t="s">
        <v>233</v>
      </c>
      <c r="D753" s="20" t="s">
        <v>796</v>
      </c>
      <c r="E753" s="20" t="s">
        <v>797</v>
      </c>
      <c r="F753" s="20" t="s">
        <v>798</v>
      </c>
      <c r="G753" s="20" t="s">
        <v>218</v>
      </c>
      <c r="H753" s="21">
        <v>4801.79</v>
      </c>
      <c r="I753" s="21">
        <v>4801.79</v>
      </c>
    </row>
    <row r="754" spans="1:9" x14ac:dyDescent="0.45">
      <c r="A754" s="27" t="s">
        <v>799</v>
      </c>
      <c r="H754" s="22">
        <f>H753</f>
        <v>4801.79</v>
      </c>
    </row>
    <row r="755" spans="1:9" x14ac:dyDescent="0.45">
      <c r="A755" s="7" t="s">
        <v>116</v>
      </c>
    </row>
    <row r="756" spans="1:9" x14ac:dyDescent="0.45">
      <c r="B756" s="20" t="s">
        <v>435</v>
      </c>
      <c r="C756" s="20" t="s">
        <v>233</v>
      </c>
      <c r="D756" s="20" t="s">
        <v>800</v>
      </c>
      <c r="E756" s="20" t="s">
        <v>801</v>
      </c>
      <c r="F756" s="20" t="s">
        <v>802</v>
      </c>
      <c r="G756" s="20" t="s">
        <v>218</v>
      </c>
      <c r="H756" s="21">
        <v>569.13</v>
      </c>
      <c r="I756" s="21">
        <v>569.13</v>
      </c>
    </row>
    <row r="757" spans="1:9" x14ac:dyDescent="0.45">
      <c r="B757" s="20" t="s">
        <v>435</v>
      </c>
      <c r="C757" s="20" t="s">
        <v>233</v>
      </c>
      <c r="D757" s="20" t="s">
        <v>803</v>
      </c>
      <c r="E757" s="20" t="s">
        <v>804</v>
      </c>
      <c r="F757" s="20" t="s">
        <v>805</v>
      </c>
      <c r="G757" s="20" t="s">
        <v>218</v>
      </c>
      <c r="H757" s="21">
        <v>708</v>
      </c>
      <c r="I757" s="21">
        <v>1277.1300000000001</v>
      </c>
    </row>
    <row r="758" spans="1:9" x14ac:dyDescent="0.45">
      <c r="B758" s="20" t="s">
        <v>439</v>
      </c>
      <c r="C758" s="20" t="s">
        <v>233</v>
      </c>
      <c r="D758" s="20" t="s">
        <v>806</v>
      </c>
      <c r="E758" s="20" t="s">
        <v>801</v>
      </c>
      <c r="F758" s="20" t="s">
        <v>807</v>
      </c>
      <c r="G758" s="20" t="s">
        <v>218</v>
      </c>
      <c r="H758" s="21">
        <v>1329.5</v>
      </c>
      <c r="I758" s="21">
        <v>2606.63</v>
      </c>
    </row>
    <row r="759" spans="1:9" x14ac:dyDescent="0.45">
      <c r="B759" s="20" t="s">
        <v>540</v>
      </c>
      <c r="C759" s="20" t="s">
        <v>233</v>
      </c>
      <c r="D759" s="20" t="s">
        <v>808</v>
      </c>
      <c r="E759" s="20" t="s">
        <v>809</v>
      </c>
      <c r="F759" s="20" t="s">
        <v>810</v>
      </c>
      <c r="G759" s="20" t="s">
        <v>218</v>
      </c>
      <c r="H759" s="21">
        <v>578.75</v>
      </c>
      <c r="I759" s="21">
        <v>3185.38</v>
      </c>
    </row>
    <row r="760" spans="1:9" x14ac:dyDescent="0.45">
      <c r="B760" s="20" t="s">
        <v>540</v>
      </c>
      <c r="C760" s="20" t="s">
        <v>233</v>
      </c>
      <c r="D760" s="20" t="s">
        <v>811</v>
      </c>
      <c r="E760" s="20" t="s">
        <v>801</v>
      </c>
      <c r="F760" s="20" t="s">
        <v>812</v>
      </c>
      <c r="G760" s="20" t="s">
        <v>218</v>
      </c>
      <c r="H760" s="21">
        <v>860.86</v>
      </c>
      <c r="I760" s="21">
        <v>4046.2400000000002</v>
      </c>
    </row>
    <row r="761" spans="1:9" x14ac:dyDescent="0.45">
      <c r="B761" s="20" t="s">
        <v>588</v>
      </c>
      <c r="C761" s="20" t="s">
        <v>233</v>
      </c>
      <c r="D761" s="20" t="s">
        <v>813</v>
      </c>
      <c r="E761" s="20" t="s">
        <v>801</v>
      </c>
      <c r="F761" s="20" t="s">
        <v>814</v>
      </c>
      <c r="G761" s="20" t="s">
        <v>218</v>
      </c>
      <c r="H761" s="21">
        <v>1772.94</v>
      </c>
      <c r="I761" s="21">
        <v>5819.18</v>
      </c>
    </row>
    <row r="762" spans="1:9" x14ac:dyDescent="0.45">
      <c r="B762" s="20" t="s">
        <v>588</v>
      </c>
      <c r="C762" s="20" t="s">
        <v>233</v>
      </c>
      <c r="D762" s="20" t="s">
        <v>815</v>
      </c>
      <c r="E762" s="20" t="s">
        <v>816</v>
      </c>
      <c r="F762" s="20" t="s">
        <v>817</v>
      </c>
      <c r="G762" s="20" t="s">
        <v>218</v>
      </c>
      <c r="H762" s="21">
        <v>4609.38</v>
      </c>
      <c r="I762" s="21">
        <v>10428.560000000001</v>
      </c>
    </row>
    <row r="763" spans="1:9" x14ac:dyDescent="0.45">
      <c r="B763" s="20" t="s">
        <v>588</v>
      </c>
      <c r="C763" s="20" t="s">
        <v>233</v>
      </c>
      <c r="D763" s="20" t="s">
        <v>818</v>
      </c>
      <c r="E763" s="20" t="s">
        <v>765</v>
      </c>
      <c r="F763" s="20" t="s">
        <v>175</v>
      </c>
      <c r="G763" s="20" t="s">
        <v>216</v>
      </c>
      <c r="H763" s="21">
        <v>205</v>
      </c>
      <c r="I763" s="21">
        <v>10633.560000000001</v>
      </c>
    </row>
    <row r="764" spans="1:9" x14ac:dyDescent="0.45">
      <c r="B764" s="20" t="s">
        <v>484</v>
      </c>
      <c r="C764" s="20" t="s">
        <v>233</v>
      </c>
      <c r="D764" s="20" t="s">
        <v>764</v>
      </c>
      <c r="E764" s="20" t="s">
        <v>765</v>
      </c>
      <c r="F764" s="20" t="s">
        <v>819</v>
      </c>
      <c r="G764" s="20" t="s">
        <v>218</v>
      </c>
      <c r="H764" s="21">
        <v>433.94</v>
      </c>
      <c r="I764" s="21">
        <v>11067.500000000002</v>
      </c>
    </row>
    <row r="765" spans="1:9" x14ac:dyDescent="0.45">
      <c r="B765" s="20" t="s">
        <v>484</v>
      </c>
      <c r="C765" s="20" t="s">
        <v>233</v>
      </c>
      <c r="D765" s="20" t="s">
        <v>820</v>
      </c>
      <c r="E765" s="20" t="s">
        <v>816</v>
      </c>
      <c r="F765" s="20" t="s">
        <v>821</v>
      </c>
      <c r="G765" s="20" t="s">
        <v>218</v>
      </c>
      <c r="H765" s="21">
        <v>4496.57</v>
      </c>
      <c r="I765" s="21">
        <v>15564.070000000002</v>
      </c>
    </row>
    <row r="766" spans="1:9" x14ac:dyDescent="0.45">
      <c r="B766" s="20" t="s">
        <v>247</v>
      </c>
      <c r="C766" s="20" t="s">
        <v>233</v>
      </c>
      <c r="D766" s="20" t="s">
        <v>358</v>
      </c>
      <c r="E766" s="20" t="s">
        <v>359</v>
      </c>
      <c r="F766" s="20" t="s">
        <v>116</v>
      </c>
      <c r="G766" s="20" t="s">
        <v>218</v>
      </c>
      <c r="H766" s="21">
        <v>648.70000000000005</v>
      </c>
      <c r="I766" s="21">
        <v>16212.770000000002</v>
      </c>
    </row>
    <row r="767" spans="1:9" x14ac:dyDescent="0.45">
      <c r="A767" s="27" t="s">
        <v>360</v>
      </c>
      <c r="H767" s="22">
        <f>H756+H757+H758+H759+H760+H761+H762+H763+H764+H765+H766</f>
        <v>16212.770000000002</v>
      </c>
    </row>
    <row r="768" spans="1:9" x14ac:dyDescent="0.45">
      <c r="A768" s="7" t="s">
        <v>117</v>
      </c>
    </row>
    <row r="769" spans="1:9" x14ac:dyDescent="0.45">
      <c r="A769" s="7" t="s">
        <v>118</v>
      </c>
    </row>
    <row r="770" spans="1:9" x14ac:dyDescent="0.45">
      <c r="B770" s="20" t="s">
        <v>435</v>
      </c>
      <c r="C770" s="20" t="s">
        <v>233</v>
      </c>
      <c r="D770" s="20" t="s">
        <v>822</v>
      </c>
      <c r="E770" s="20" t="s">
        <v>823</v>
      </c>
      <c r="F770" s="20" t="s">
        <v>824</v>
      </c>
      <c r="G770" s="20" t="s">
        <v>218</v>
      </c>
      <c r="H770" s="21">
        <v>300</v>
      </c>
      <c r="I770" s="21">
        <v>300</v>
      </c>
    </row>
    <row r="771" spans="1:9" x14ac:dyDescent="0.45">
      <c r="B771" s="20" t="s">
        <v>435</v>
      </c>
      <c r="C771" s="20" t="s">
        <v>233</v>
      </c>
      <c r="D771" s="20" t="s">
        <v>825</v>
      </c>
      <c r="E771" s="20" t="s">
        <v>826</v>
      </c>
      <c r="F771" s="20" t="s">
        <v>827</v>
      </c>
      <c r="G771" s="20" t="s">
        <v>218</v>
      </c>
      <c r="H771" s="21">
        <v>4340.6499999999996</v>
      </c>
      <c r="I771" s="21">
        <v>4640.6499999999996</v>
      </c>
    </row>
    <row r="772" spans="1:9" x14ac:dyDescent="0.45">
      <c r="B772" s="20" t="s">
        <v>439</v>
      </c>
      <c r="C772" s="20" t="s">
        <v>233</v>
      </c>
      <c r="D772" s="20" t="s">
        <v>828</v>
      </c>
      <c r="E772" s="20" t="s">
        <v>826</v>
      </c>
      <c r="F772" s="20" t="s">
        <v>829</v>
      </c>
      <c r="G772" s="20" t="s">
        <v>218</v>
      </c>
      <c r="H772" s="21">
        <v>17876.2</v>
      </c>
      <c r="I772" s="21">
        <v>22516.85</v>
      </c>
    </row>
    <row r="773" spans="1:9" x14ac:dyDescent="0.45">
      <c r="B773" s="20" t="s">
        <v>585</v>
      </c>
      <c r="C773" s="20" t="s">
        <v>233</v>
      </c>
      <c r="D773" s="20" t="s">
        <v>830</v>
      </c>
      <c r="E773" s="20" t="s">
        <v>826</v>
      </c>
      <c r="F773" s="20" t="s">
        <v>831</v>
      </c>
      <c r="G773" s="20" t="s">
        <v>218</v>
      </c>
      <c r="H773" s="21">
        <v>2794.5</v>
      </c>
      <c r="I773" s="21">
        <v>25311.35</v>
      </c>
    </row>
    <row r="774" spans="1:9" x14ac:dyDescent="0.45">
      <c r="B774" s="20" t="s">
        <v>585</v>
      </c>
      <c r="C774" s="20" t="s">
        <v>233</v>
      </c>
      <c r="D774" s="20" t="s">
        <v>832</v>
      </c>
      <c r="E774" s="20" t="s">
        <v>833</v>
      </c>
      <c r="F774" s="20" t="s">
        <v>834</v>
      </c>
      <c r="G774" s="20" t="s">
        <v>218</v>
      </c>
      <c r="H774" s="21">
        <v>1195.0999999999999</v>
      </c>
      <c r="I774" s="21">
        <v>26506.449999999997</v>
      </c>
    </row>
    <row r="775" spans="1:9" x14ac:dyDescent="0.45">
      <c r="B775" s="20" t="s">
        <v>540</v>
      </c>
      <c r="C775" s="20" t="s">
        <v>233</v>
      </c>
      <c r="D775" s="20" t="s">
        <v>835</v>
      </c>
      <c r="E775" s="20" t="s">
        <v>826</v>
      </c>
      <c r="F775" s="20" t="s">
        <v>831</v>
      </c>
      <c r="G775" s="20" t="s">
        <v>218</v>
      </c>
      <c r="H775" s="21">
        <v>9267.65</v>
      </c>
      <c r="I775" s="21">
        <v>35774.1</v>
      </c>
    </row>
    <row r="776" spans="1:9" x14ac:dyDescent="0.45">
      <c r="B776" s="20" t="s">
        <v>588</v>
      </c>
      <c r="C776" s="20" t="s">
        <v>233</v>
      </c>
      <c r="D776" s="20" t="s">
        <v>836</v>
      </c>
      <c r="E776" s="20" t="s">
        <v>826</v>
      </c>
      <c r="F776" s="20" t="s">
        <v>831</v>
      </c>
      <c r="G776" s="20" t="s">
        <v>218</v>
      </c>
      <c r="H776" s="21">
        <v>1205.82</v>
      </c>
      <c r="I776" s="21">
        <v>36979.919999999998</v>
      </c>
    </row>
    <row r="777" spans="1:9" x14ac:dyDescent="0.45">
      <c r="B777" s="20" t="s">
        <v>588</v>
      </c>
      <c r="C777" s="20" t="s">
        <v>233</v>
      </c>
      <c r="D777" s="20" t="s">
        <v>837</v>
      </c>
      <c r="E777" s="20" t="s">
        <v>833</v>
      </c>
      <c r="F777" s="20" t="s">
        <v>834</v>
      </c>
      <c r="G777" s="20" t="s">
        <v>218</v>
      </c>
      <c r="H777" s="21">
        <v>1323.68</v>
      </c>
      <c r="I777" s="21">
        <v>38303.599999999999</v>
      </c>
    </row>
    <row r="778" spans="1:9" x14ac:dyDescent="0.45">
      <c r="B778" s="20" t="s">
        <v>484</v>
      </c>
      <c r="C778" s="20" t="s">
        <v>233</v>
      </c>
      <c r="D778" s="20" t="s">
        <v>838</v>
      </c>
      <c r="E778" s="20" t="s">
        <v>826</v>
      </c>
      <c r="F778" s="20" t="s">
        <v>831</v>
      </c>
      <c r="G778" s="20" t="s">
        <v>218</v>
      </c>
      <c r="H778" s="21">
        <v>13806</v>
      </c>
      <c r="I778" s="21">
        <v>52109.599999999999</v>
      </c>
    </row>
    <row r="779" spans="1:9" x14ac:dyDescent="0.45">
      <c r="A779" s="28" t="s">
        <v>839</v>
      </c>
      <c r="H779" s="22">
        <f>H770+H771+H772+H773+H774+H775+H776+H777+H778</f>
        <v>52109.599999999999</v>
      </c>
    </row>
    <row r="780" spans="1:9" x14ac:dyDescent="0.45">
      <c r="A780" s="27" t="s">
        <v>840</v>
      </c>
      <c r="H780" s="22">
        <f>H779</f>
        <v>52109.599999999999</v>
      </c>
    </row>
    <row r="781" spans="1:9" x14ac:dyDescent="0.45">
      <c r="A781" s="17" t="s">
        <v>361</v>
      </c>
      <c r="H781" s="22">
        <f>H739+H745+H751+H754+H767+H780</f>
        <v>80721.919999999998</v>
      </c>
    </row>
    <row r="782" spans="1:9" x14ac:dyDescent="0.45">
      <c r="A782" s="7" t="s">
        <v>121</v>
      </c>
    </row>
    <row r="783" spans="1:9" x14ac:dyDescent="0.45">
      <c r="A783" s="7" t="s">
        <v>122</v>
      </c>
    </row>
    <row r="784" spans="1:9" x14ac:dyDescent="0.45">
      <c r="B784" s="20" t="s">
        <v>555</v>
      </c>
      <c r="C784" s="20" t="s">
        <v>233</v>
      </c>
      <c r="D784" s="20" t="s">
        <v>284</v>
      </c>
      <c r="E784" s="20" t="s">
        <v>841</v>
      </c>
      <c r="F784" s="20" t="s">
        <v>842</v>
      </c>
      <c r="G784" s="20" t="s">
        <v>218</v>
      </c>
      <c r="H784" s="21">
        <v>167.98</v>
      </c>
      <c r="I784" s="21">
        <v>167.98</v>
      </c>
    </row>
    <row r="785" spans="1:9" x14ac:dyDescent="0.45">
      <c r="B785" s="20" t="s">
        <v>555</v>
      </c>
      <c r="C785" s="20" t="s">
        <v>233</v>
      </c>
      <c r="D785" s="20" t="s">
        <v>284</v>
      </c>
      <c r="E785" s="20" t="s">
        <v>841</v>
      </c>
      <c r="F785" s="20" t="s">
        <v>843</v>
      </c>
      <c r="G785" s="20" t="s">
        <v>218</v>
      </c>
      <c r="H785" s="21">
        <v>-2.44</v>
      </c>
      <c r="I785" s="21">
        <v>165.54</v>
      </c>
    </row>
    <row r="786" spans="1:9" x14ac:dyDescent="0.45">
      <c r="B786" s="20" t="s">
        <v>555</v>
      </c>
      <c r="C786" s="20" t="s">
        <v>233</v>
      </c>
      <c r="D786" s="20" t="s">
        <v>284</v>
      </c>
      <c r="E786" s="20" t="s">
        <v>841</v>
      </c>
      <c r="F786" s="20" t="s">
        <v>844</v>
      </c>
      <c r="G786" s="20" t="s">
        <v>218</v>
      </c>
      <c r="H786" s="21">
        <v>-10.41</v>
      </c>
      <c r="I786" s="21">
        <v>155.13</v>
      </c>
    </row>
    <row r="787" spans="1:9" x14ac:dyDescent="0.45">
      <c r="B787" s="20" t="s">
        <v>435</v>
      </c>
      <c r="C787" s="20" t="s">
        <v>233</v>
      </c>
      <c r="D787" s="20" t="s">
        <v>234</v>
      </c>
      <c r="E787" s="20" t="s">
        <v>245</v>
      </c>
      <c r="F787" s="20" t="s">
        <v>845</v>
      </c>
      <c r="G787" s="20" t="s">
        <v>199</v>
      </c>
      <c r="H787" s="21">
        <v>25.7</v>
      </c>
      <c r="I787" s="21">
        <v>180.82999999999998</v>
      </c>
    </row>
    <row r="788" spans="1:9" x14ac:dyDescent="0.45">
      <c r="B788" s="20" t="s">
        <v>566</v>
      </c>
      <c r="C788" s="20" t="s">
        <v>233</v>
      </c>
      <c r="D788" s="20" t="s">
        <v>284</v>
      </c>
      <c r="E788" s="20" t="s">
        <v>841</v>
      </c>
      <c r="F788" s="20" t="s">
        <v>846</v>
      </c>
      <c r="G788" s="20" t="s">
        <v>218</v>
      </c>
      <c r="H788" s="21">
        <v>513.21</v>
      </c>
      <c r="I788" s="21">
        <v>694.04</v>
      </c>
    </row>
    <row r="789" spans="1:9" x14ac:dyDescent="0.45">
      <c r="B789" s="20" t="s">
        <v>566</v>
      </c>
      <c r="C789" s="20" t="s">
        <v>233</v>
      </c>
      <c r="D789" s="20" t="s">
        <v>284</v>
      </c>
      <c r="E789" s="20" t="s">
        <v>841</v>
      </c>
      <c r="F789" s="20" t="s">
        <v>237</v>
      </c>
      <c r="G789" s="20" t="s">
        <v>218</v>
      </c>
      <c r="H789" s="21">
        <v>-12.11</v>
      </c>
      <c r="I789" s="21">
        <v>681.93</v>
      </c>
    </row>
    <row r="790" spans="1:9" x14ac:dyDescent="0.45">
      <c r="B790" s="20" t="s">
        <v>566</v>
      </c>
      <c r="C790" s="20" t="s">
        <v>233</v>
      </c>
      <c r="D790" s="20" t="s">
        <v>284</v>
      </c>
      <c r="E790" s="20" t="s">
        <v>841</v>
      </c>
      <c r="F790" s="20" t="s">
        <v>244</v>
      </c>
      <c r="G790" s="20" t="s">
        <v>218</v>
      </c>
      <c r="H790" s="21">
        <v>-51.78</v>
      </c>
      <c r="I790" s="21">
        <v>630.15</v>
      </c>
    </row>
    <row r="791" spans="1:9" x14ac:dyDescent="0.45">
      <c r="A791" s="27" t="s">
        <v>847</v>
      </c>
      <c r="H791" s="22">
        <f>H784+H785+H786+H787+H788+H789+H790</f>
        <v>630.15</v>
      </c>
    </row>
    <row r="792" spans="1:9" x14ac:dyDescent="0.45">
      <c r="A792" s="7" t="s">
        <v>123</v>
      </c>
    </row>
    <row r="793" spans="1:9" x14ac:dyDescent="0.45">
      <c r="B793" s="20" t="s">
        <v>540</v>
      </c>
      <c r="C793" s="20" t="s">
        <v>233</v>
      </c>
      <c r="D793" s="20" t="s">
        <v>848</v>
      </c>
      <c r="E793" s="20" t="s">
        <v>849</v>
      </c>
      <c r="F793" s="20" t="s">
        <v>850</v>
      </c>
      <c r="G793" s="20" t="s">
        <v>218</v>
      </c>
      <c r="H793" s="21">
        <v>18447.77</v>
      </c>
      <c r="I793" s="21">
        <v>18447.77</v>
      </c>
    </row>
    <row r="794" spans="1:9" x14ac:dyDescent="0.45">
      <c r="B794" s="20" t="s">
        <v>484</v>
      </c>
      <c r="C794" s="20" t="s">
        <v>233</v>
      </c>
      <c r="D794" s="20" t="s">
        <v>851</v>
      </c>
      <c r="E794" s="20" t="s">
        <v>849</v>
      </c>
      <c r="F794" s="20" t="s">
        <v>852</v>
      </c>
      <c r="G794" s="20" t="s">
        <v>218</v>
      </c>
      <c r="H794" s="21">
        <v>10306.16</v>
      </c>
      <c r="I794" s="21">
        <v>28753.93</v>
      </c>
    </row>
    <row r="795" spans="1:9" x14ac:dyDescent="0.45">
      <c r="A795" s="27" t="s">
        <v>853</v>
      </c>
      <c r="H795" s="22">
        <f>H793+H794</f>
        <v>28753.93</v>
      </c>
    </row>
    <row r="796" spans="1:9" x14ac:dyDescent="0.45">
      <c r="A796" s="7" t="s">
        <v>124</v>
      </c>
    </row>
    <row r="797" spans="1:9" x14ac:dyDescent="0.45">
      <c r="B797" s="20" t="s">
        <v>555</v>
      </c>
      <c r="C797" s="20" t="s">
        <v>233</v>
      </c>
      <c r="D797" s="20" t="s">
        <v>284</v>
      </c>
      <c r="E797" s="20" t="s">
        <v>362</v>
      </c>
      <c r="F797" s="20" t="s">
        <v>854</v>
      </c>
      <c r="G797" s="20" t="s">
        <v>218</v>
      </c>
      <c r="H797" s="21">
        <v>3451.18</v>
      </c>
      <c r="I797" s="21">
        <v>3451.18</v>
      </c>
    </row>
    <row r="798" spans="1:9" x14ac:dyDescent="0.45">
      <c r="B798" s="20" t="s">
        <v>566</v>
      </c>
      <c r="C798" s="20" t="s">
        <v>233</v>
      </c>
      <c r="D798" s="20" t="s">
        <v>284</v>
      </c>
      <c r="E798" s="20" t="s">
        <v>841</v>
      </c>
      <c r="F798" s="20" t="s">
        <v>855</v>
      </c>
      <c r="G798" s="20" t="s">
        <v>218</v>
      </c>
      <c r="H798" s="21">
        <v>322.02</v>
      </c>
      <c r="I798" s="21">
        <v>3773.2</v>
      </c>
    </row>
    <row r="799" spans="1:9" x14ac:dyDescent="0.45">
      <c r="A799" s="27" t="s">
        <v>856</v>
      </c>
      <c r="H799" s="22">
        <f>H797+H798</f>
        <v>3773.2</v>
      </c>
    </row>
    <row r="800" spans="1:9" x14ac:dyDescent="0.45">
      <c r="A800" s="17" t="s">
        <v>857</v>
      </c>
      <c r="H800" s="22">
        <f>H791+H795+H799</f>
        <v>33157.279999999999</v>
      </c>
    </row>
    <row r="801" spans="1:9" x14ac:dyDescent="0.45">
      <c r="A801" s="7" t="s">
        <v>126</v>
      </c>
    </row>
    <row r="802" spans="1:9" x14ac:dyDescent="0.45">
      <c r="A802" s="7" t="s">
        <v>127</v>
      </c>
    </row>
    <row r="803" spans="1:9" x14ac:dyDescent="0.45">
      <c r="B803" s="20" t="s">
        <v>555</v>
      </c>
      <c r="C803" s="20" t="s">
        <v>233</v>
      </c>
      <c r="D803" s="20" t="s">
        <v>284</v>
      </c>
      <c r="E803" s="20" t="s">
        <v>362</v>
      </c>
      <c r="F803" s="20" t="s">
        <v>858</v>
      </c>
      <c r="G803" s="20" t="s">
        <v>218</v>
      </c>
      <c r="H803" s="21">
        <v>-435.6</v>
      </c>
      <c r="I803" s="21">
        <v>-435.6</v>
      </c>
    </row>
    <row r="804" spans="1:9" x14ac:dyDescent="0.45">
      <c r="B804" s="20" t="s">
        <v>555</v>
      </c>
      <c r="C804" s="20" t="s">
        <v>233</v>
      </c>
      <c r="D804" s="20" t="s">
        <v>284</v>
      </c>
      <c r="E804" s="20" t="s">
        <v>362</v>
      </c>
      <c r="F804" s="20" t="s">
        <v>859</v>
      </c>
      <c r="G804" s="20" t="s">
        <v>218</v>
      </c>
      <c r="H804" s="21">
        <v>-45.82</v>
      </c>
      <c r="I804" s="21">
        <v>-481.42</v>
      </c>
    </row>
    <row r="805" spans="1:9" x14ac:dyDescent="0.45">
      <c r="B805" s="20" t="s">
        <v>463</v>
      </c>
      <c r="C805" s="20" t="s">
        <v>233</v>
      </c>
      <c r="D805" s="20" t="s">
        <v>234</v>
      </c>
      <c r="E805" s="20" t="s">
        <v>364</v>
      </c>
      <c r="F805" s="20" t="s">
        <v>366</v>
      </c>
      <c r="G805" s="20" t="s">
        <v>218</v>
      </c>
      <c r="H805" s="21">
        <v>44.52</v>
      </c>
      <c r="I805" s="21">
        <v>-436.90000000000003</v>
      </c>
    </row>
    <row r="806" spans="1:9" x14ac:dyDescent="0.45">
      <c r="B806" s="20" t="s">
        <v>463</v>
      </c>
      <c r="C806" s="20" t="s">
        <v>233</v>
      </c>
      <c r="D806" s="20" t="s">
        <v>234</v>
      </c>
      <c r="E806" s="20" t="s">
        <v>602</v>
      </c>
      <c r="F806" s="20" t="s">
        <v>860</v>
      </c>
      <c r="G806" s="20" t="s">
        <v>218</v>
      </c>
      <c r="H806" s="21">
        <v>3629.98</v>
      </c>
      <c r="I806" s="21">
        <v>3193.08</v>
      </c>
    </row>
    <row r="807" spans="1:9" x14ac:dyDescent="0.45">
      <c r="B807" s="20" t="s">
        <v>465</v>
      </c>
      <c r="C807" s="20" t="s">
        <v>233</v>
      </c>
      <c r="D807" s="20" t="s">
        <v>861</v>
      </c>
      <c r="E807" s="20" t="s">
        <v>362</v>
      </c>
      <c r="F807" s="20" t="s">
        <v>363</v>
      </c>
      <c r="G807" s="20" t="s">
        <v>218</v>
      </c>
      <c r="H807" s="21">
        <v>-435.6</v>
      </c>
      <c r="I807" s="21">
        <v>2757.48</v>
      </c>
    </row>
    <row r="808" spans="1:9" x14ac:dyDescent="0.45">
      <c r="B808" s="20" t="s">
        <v>465</v>
      </c>
      <c r="C808" s="20" t="s">
        <v>233</v>
      </c>
      <c r="D808" s="20" t="s">
        <v>861</v>
      </c>
      <c r="E808" s="20" t="s">
        <v>362</v>
      </c>
      <c r="F808" s="20" t="s">
        <v>364</v>
      </c>
      <c r="G808" s="20" t="s">
        <v>218</v>
      </c>
      <c r="H808" s="21">
        <v>-44.52</v>
      </c>
      <c r="I808" s="21">
        <v>2712.96</v>
      </c>
    </row>
    <row r="809" spans="1:9" x14ac:dyDescent="0.45">
      <c r="B809" s="20" t="s">
        <v>439</v>
      </c>
      <c r="C809" s="20" t="s">
        <v>233</v>
      </c>
      <c r="D809" s="20" t="s">
        <v>234</v>
      </c>
      <c r="E809" s="20" t="s">
        <v>602</v>
      </c>
      <c r="F809" s="20" t="s">
        <v>860</v>
      </c>
      <c r="G809" s="20" t="s">
        <v>218</v>
      </c>
      <c r="H809" s="21">
        <v>3629.98</v>
      </c>
      <c r="I809" s="21">
        <v>6342.9400000000005</v>
      </c>
    </row>
    <row r="810" spans="1:9" x14ac:dyDescent="0.45">
      <c r="B810" s="20" t="s">
        <v>439</v>
      </c>
      <c r="C810" s="20" t="s">
        <v>233</v>
      </c>
      <c r="D810" s="20" t="s">
        <v>234</v>
      </c>
      <c r="E810" s="20" t="s">
        <v>364</v>
      </c>
      <c r="F810" s="20" t="s">
        <v>366</v>
      </c>
      <c r="G810" s="20" t="s">
        <v>218</v>
      </c>
      <c r="H810" s="21">
        <v>44.52</v>
      </c>
      <c r="I810" s="21">
        <v>6387.4600000000009</v>
      </c>
    </row>
    <row r="811" spans="1:9" x14ac:dyDescent="0.45">
      <c r="B811" s="20" t="s">
        <v>574</v>
      </c>
      <c r="C811" s="20" t="s">
        <v>233</v>
      </c>
      <c r="D811" s="20" t="s">
        <v>295</v>
      </c>
      <c r="E811" s="20" t="s">
        <v>362</v>
      </c>
      <c r="F811" s="20" t="s">
        <v>363</v>
      </c>
      <c r="G811" s="20" t="s">
        <v>218</v>
      </c>
      <c r="H811" s="21">
        <v>-435.6</v>
      </c>
      <c r="I811" s="21">
        <v>5951.8600000000006</v>
      </c>
    </row>
    <row r="812" spans="1:9" x14ac:dyDescent="0.45">
      <c r="B812" s="20" t="s">
        <v>574</v>
      </c>
      <c r="C812" s="20" t="s">
        <v>233</v>
      </c>
      <c r="D812" s="20" t="s">
        <v>295</v>
      </c>
      <c r="E812" s="20" t="s">
        <v>362</v>
      </c>
      <c r="F812" s="20" t="s">
        <v>364</v>
      </c>
      <c r="G812" s="20" t="s">
        <v>218</v>
      </c>
      <c r="H812" s="21">
        <v>-44.52</v>
      </c>
      <c r="I812" s="21">
        <v>5907.34</v>
      </c>
    </row>
    <row r="813" spans="1:9" x14ac:dyDescent="0.45">
      <c r="B813" s="20" t="s">
        <v>565</v>
      </c>
      <c r="C813" s="20" t="s">
        <v>233</v>
      </c>
      <c r="D813" s="20" t="s">
        <v>234</v>
      </c>
      <c r="E813" s="20" t="s">
        <v>602</v>
      </c>
      <c r="F813" s="20" t="s">
        <v>860</v>
      </c>
      <c r="G813" s="20" t="s">
        <v>218</v>
      </c>
      <c r="H813" s="21">
        <v>3629.98</v>
      </c>
      <c r="I813" s="21">
        <v>9537.32</v>
      </c>
    </row>
    <row r="814" spans="1:9" x14ac:dyDescent="0.45">
      <c r="B814" s="20" t="s">
        <v>565</v>
      </c>
      <c r="C814" s="20" t="s">
        <v>233</v>
      </c>
      <c r="D814" s="20" t="s">
        <v>234</v>
      </c>
      <c r="E814" s="20" t="s">
        <v>364</v>
      </c>
      <c r="F814" s="20" t="s">
        <v>366</v>
      </c>
      <c r="G814" s="20" t="s">
        <v>218</v>
      </c>
      <c r="H814" s="21">
        <v>44.52</v>
      </c>
      <c r="I814" s="21">
        <v>9581.84</v>
      </c>
    </row>
    <row r="815" spans="1:9" x14ac:dyDescent="0.45">
      <c r="B815" s="20" t="s">
        <v>566</v>
      </c>
      <c r="C815" s="20" t="s">
        <v>233</v>
      </c>
      <c r="D815" s="20" t="s">
        <v>284</v>
      </c>
      <c r="E815" s="20" t="s">
        <v>362</v>
      </c>
      <c r="F815" s="20" t="s">
        <v>363</v>
      </c>
      <c r="G815" s="20" t="s">
        <v>218</v>
      </c>
      <c r="H815" s="21">
        <v>-435.6</v>
      </c>
      <c r="I815" s="21">
        <v>9146.24</v>
      </c>
    </row>
    <row r="816" spans="1:9" x14ac:dyDescent="0.45">
      <c r="B816" s="20" t="s">
        <v>566</v>
      </c>
      <c r="C816" s="20" t="s">
        <v>233</v>
      </c>
      <c r="D816" s="20" t="s">
        <v>284</v>
      </c>
      <c r="E816" s="20" t="s">
        <v>362</v>
      </c>
      <c r="F816" s="20" t="s">
        <v>364</v>
      </c>
      <c r="G816" s="20" t="s">
        <v>218</v>
      </c>
      <c r="H816" s="21">
        <v>-44.52</v>
      </c>
      <c r="I816" s="21">
        <v>9101.7199999999993</v>
      </c>
    </row>
    <row r="817" spans="1:9" x14ac:dyDescent="0.45">
      <c r="B817" s="20" t="s">
        <v>570</v>
      </c>
      <c r="C817" s="20" t="s">
        <v>233</v>
      </c>
      <c r="D817" s="20" t="s">
        <v>234</v>
      </c>
      <c r="E817" s="20" t="s">
        <v>364</v>
      </c>
      <c r="F817" s="20" t="s">
        <v>366</v>
      </c>
      <c r="G817" s="20" t="s">
        <v>218</v>
      </c>
      <c r="H817" s="21">
        <v>44.52</v>
      </c>
      <c r="I817" s="21">
        <v>9146.24</v>
      </c>
    </row>
    <row r="818" spans="1:9" x14ac:dyDescent="0.45">
      <c r="B818" s="20" t="s">
        <v>570</v>
      </c>
      <c r="C818" s="20" t="s">
        <v>233</v>
      </c>
      <c r="D818" s="20" t="s">
        <v>234</v>
      </c>
      <c r="E818" s="20" t="s">
        <v>602</v>
      </c>
      <c r="F818" s="20" t="s">
        <v>860</v>
      </c>
      <c r="G818" s="20" t="s">
        <v>218</v>
      </c>
      <c r="H818" s="21">
        <v>3629.98</v>
      </c>
      <c r="I818" s="21">
        <v>12776.22</v>
      </c>
    </row>
    <row r="819" spans="1:9" x14ac:dyDescent="0.45">
      <c r="B819" s="20" t="s">
        <v>577</v>
      </c>
      <c r="C819" s="20" t="s">
        <v>233</v>
      </c>
      <c r="D819" s="20" t="s">
        <v>295</v>
      </c>
      <c r="E819" s="20" t="s">
        <v>362</v>
      </c>
      <c r="F819" s="20" t="s">
        <v>363</v>
      </c>
      <c r="G819" s="20" t="s">
        <v>218</v>
      </c>
      <c r="H819" s="21">
        <v>-435.6</v>
      </c>
      <c r="I819" s="21">
        <v>12340.619999999999</v>
      </c>
    </row>
    <row r="820" spans="1:9" x14ac:dyDescent="0.45">
      <c r="B820" s="20" t="s">
        <v>577</v>
      </c>
      <c r="C820" s="20" t="s">
        <v>233</v>
      </c>
      <c r="D820" s="20" t="s">
        <v>295</v>
      </c>
      <c r="E820" s="20" t="s">
        <v>362</v>
      </c>
      <c r="F820" s="20" t="s">
        <v>364</v>
      </c>
      <c r="G820" s="20" t="s">
        <v>218</v>
      </c>
      <c r="H820" s="21">
        <v>-44.52</v>
      </c>
      <c r="I820" s="21">
        <v>12296.099999999999</v>
      </c>
    </row>
    <row r="821" spans="1:9" x14ac:dyDescent="0.45">
      <c r="B821" s="20" t="s">
        <v>571</v>
      </c>
      <c r="C821" s="20" t="s">
        <v>233</v>
      </c>
      <c r="D821" s="20" t="s">
        <v>234</v>
      </c>
      <c r="E821" s="20" t="s">
        <v>364</v>
      </c>
      <c r="F821" s="20" t="s">
        <v>366</v>
      </c>
      <c r="G821" s="20" t="s">
        <v>218</v>
      </c>
      <c r="H821" s="21">
        <v>44.52</v>
      </c>
      <c r="I821" s="21">
        <v>12340.619999999999</v>
      </c>
    </row>
    <row r="822" spans="1:9" x14ac:dyDescent="0.45">
      <c r="B822" s="20" t="s">
        <v>571</v>
      </c>
      <c r="C822" s="20" t="s">
        <v>233</v>
      </c>
      <c r="D822" s="20" t="s">
        <v>234</v>
      </c>
      <c r="E822" s="20" t="s">
        <v>602</v>
      </c>
      <c r="F822" s="20" t="s">
        <v>860</v>
      </c>
      <c r="G822" s="20" t="s">
        <v>218</v>
      </c>
      <c r="H822" s="21">
        <v>3629.98</v>
      </c>
      <c r="I822" s="21">
        <v>15970.599999999999</v>
      </c>
    </row>
    <row r="823" spans="1:9" x14ac:dyDescent="0.45">
      <c r="B823" s="20" t="s">
        <v>579</v>
      </c>
      <c r="C823" s="20" t="s">
        <v>233</v>
      </c>
      <c r="D823" s="20" t="s">
        <v>234</v>
      </c>
      <c r="E823" s="20" t="s">
        <v>362</v>
      </c>
      <c r="F823" s="20" t="s">
        <v>363</v>
      </c>
      <c r="G823" s="20" t="s">
        <v>218</v>
      </c>
      <c r="H823" s="21">
        <v>-435.6</v>
      </c>
      <c r="I823" s="21">
        <v>15534.999999999998</v>
      </c>
    </row>
    <row r="824" spans="1:9" x14ac:dyDescent="0.45">
      <c r="B824" s="20" t="s">
        <v>579</v>
      </c>
      <c r="C824" s="20" t="s">
        <v>233</v>
      </c>
      <c r="D824" s="20" t="s">
        <v>234</v>
      </c>
      <c r="E824" s="20" t="s">
        <v>362</v>
      </c>
      <c r="F824" s="20" t="s">
        <v>364</v>
      </c>
      <c r="G824" s="20" t="s">
        <v>218</v>
      </c>
      <c r="H824" s="21">
        <v>-44.52</v>
      </c>
      <c r="I824" s="21">
        <v>15490.479999999998</v>
      </c>
    </row>
    <row r="825" spans="1:9" x14ac:dyDescent="0.45">
      <c r="B825" s="20" t="s">
        <v>232</v>
      </c>
      <c r="C825" s="20" t="s">
        <v>233</v>
      </c>
      <c r="D825" s="20" t="s">
        <v>234</v>
      </c>
      <c r="E825" s="20" t="s">
        <v>362</v>
      </c>
      <c r="F825" s="20" t="s">
        <v>363</v>
      </c>
      <c r="G825" s="20" t="s">
        <v>218</v>
      </c>
      <c r="H825" s="21">
        <v>-435.6</v>
      </c>
      <c r="I825" s="21">
        <v>15054.879999999997</v>
      </c>
    </row>
    <row r="826" spans="1:9" x14ac:dyDescent="0.45">
      <c r="B826" s="20" t="s">
        <v>232</v>
      </c>
      <c r="C826" s="20" t="s">
        <v>233</v>
      </c>
      <c r="D826" s="20" t="s">
        <v>234</v>
      </c>
      <c r="E826" s="20" t="s">
        <v>362</v>
      </c>
      <c r="F826" s="20" t="s">
        <v>364</v>
      </c>
      <c r="G826" s="20" t="s">
        <v>218</v>
      </c>
      <c r="H826" s="21">
        <v>-44.52</v>
      </c>
      <c r="I826" s="21">
        <v>15010.359999999997</v>
      </c>
    </row>
    <row r="827" spans="1:9" x14ac:dyDescent="0.45">
      <c r="B827" s="20" t="s">
        <v>365</v>
      </c>
      <c r="C827" s="20" t="s">
        <v>233</v>
      </c>
      <c r="D827" s="20" t="s">
        <v>234</v>
      </c>
      <c r="E827" s="20" t="s">
        <v>364</v>
      </c>
      <c r="F827" s="20" t="s">
        <v>366</v>
      </c>
      <c r="G827" s="20" t="s">
        <v>218</v>
      </c>
      <c r="H827" s="21">
        <v>44.52</v>
      </c>
      <c r="I827" s="21">
        <v>15054.879999999997</v>
      </c>
    </row>
    <row r="828" spans="1:9" x14ac:dyDescent="0.45">
      <c r="B828" s="20" t="s">
        <v>367</v>
      </c>
      <c r="C828" s="20" t="s">
        <v>233</v>
      </c>
      <c r="D828" s="20" t="s">
        <v>234</v>
      </c>
      <c r="E828" s="20" t="s">
        <v>364</v>
      </c>
      <c r="F828" s="20" t="s">
        <v>366</v>
      </c>
      <c r="G828" s="20" t="s">
        <v>218</v>
      </c>
      <c r="H828" s="21">
        <v>44.52</v>
      </c>
      <c r="I828" s="21">
        <v>15099.399999999998</v>
      </c>
    </row>
    <row r="829" spans="1:9" x14ac:dyDescent="0.45">
      <c r="A829" s="27" t="s">
        <v>368</v>
      </c>
      <c r="H829" s="22">
        <f>H803+H804+H805+H806+H807+H808+H809+H810+H811+H812+H813+H814+H815+H816+H817+H818+H819+H820+H821+H822+H823+H824+H825+H826+H827+H828</f>
        <v>15099.399999999998</v>
      </c>
    </row>
    <row r="830" spans="1:9" x14ac:dyDescent="0.45">
      <c r="A830" s="7" t="s">
        <v>128</v>
      </c>
    </row>
    <row r="831" spans="1:9" x14ac:dyDescent="0.45">
      <c r="B831" s="20" t="s">
        <v>465</v>
      </c>
      <c r="C831" s="20" t="s">
        <v>233</v>
      </c>
      <c r="D831" s="20" t="s">
        <v>862</v>
      </c>
      <c r="E831" s="20" t="s">
        <v>369</v>
      </c>
      <c r="F831" s="20" t="s">
        <v>175</v>
      </c>
      <c r="G831" s="20" t="s">
        <v>218</v>
      </c>
      <c r="H831" s="23">
        <v>0</v>
      </c>
      <c r="I831" s="23">
        <v>0</v>
      </c>
    </row>
    <row r="832" spans="1:9" x14ac:dyDescent="0.45">
      <c r="B832" s="20" t="s">
        <v>564</v>
      </c>
      <c r="C832" s="20" t="s">
        <v>233</v>
      </c>
      <c r="D832" s="20" t="s">
        <v>234</v>
      </c>
      <c r="E832" s="20" t="s">
        <v>245</v>
      </c>
      <c r="F832" s="20" t="s">
        <v>845</v>
      </c>
      <c r="G832" s="20" t="s">
        <v>199</v>
      </c>
      <c r="H832" s="23">
        <v>0</v>
      </c>
      <c r="I832" s="23">
        <v>0</v>
      </c>
    </row>
    <row r="833" spans="2:9" x14ac:dyDescent="0.45">
      <c r="B833" s="20" t="s">
        <v>565</v>
      </c>
      <c r="C833" s="20" t="s">
        <v>233</v>
      </c>
      <c r="D833" s="20" t="s">
        <v>234</v>
      </c>
      <c r="E833" s="20" t="s">
        <v>245</v>
      </c>
      <c r="F833" s="20" t="s">
        <v>371</v>
      </c>
      <c r="G833" s="20" t="s">
        <v>199</v>
      </c>
      <c r="H833" s="20"/>
      <c r="I833" s="23">
        <v>0</v>
      </c>
    </row>
    <row r="834" spans="2:9" x14ac:dyDescent="0.45">
      <c r="B834" s="20" t="s">
        <v>566</v>
      </c>
      <c r="C834" s="20" t="s">
        <v>233</v>
      </c>
      <c r="D834" s="20" t="s">
        <v>284</v>
      </c>
      <c r="E834" s="20" t="s">
        <v>369</v>
      </c>
      <c r="F834" s="20" t="s">
        <v>863</v>
      </c>
      <c r="G834" s="20" t="s">
        <v>218</v>
      </c>
      <c r="H834" s="21">
        <v>80.989999999999995</v>
      </c>
      <c r="I834" s="21">
        <v>80.989999999999995</v>
      </c>
    </row>
    <row r="835" spans="2:9" x14ac:dyDescent="0.45">
      <c r="B835" s="20" t="s">
        <v>566</v>
      </c>
      <c r="C835" s="20" t="s">
        <v>233</v>
      </c>
      <c r="D835" s="20" t="s">
        <v>284</v>
      </c>
      <c r="E835" s="20" t="s">
        <v>369</v>
      </c>
      <c r="F835" s="20" t="s">
        <v>237</v>
      </c>
      <c r="G835" s="20" t="s">
        <v>218</v>
      </c>
      <c r="H835" s="21">
        <v>-1.17</v>
      </c>
      <c r="I835" s="21">
        <v>79.819999999999993</v>
      </c>
    </row>
    <row r="836" spans="2:9" x14ac:dyDescent="0.45">
      <c r="B836" s="20" t="s">
        <v>566</v>
      </c>
      <c r="C836" s="20" t="s">
        <v>233</v>
      </c>
      <c r="D836" s="20" t="s">
        <v>284</v>
      </c>
      <c r="E836" s="20" t="s">
        <v>369</v>
      </c>
      <c r="F836" s="20" t="s">
        <v>244</v>
      </c>
      <c r="G836" s="20" t="s">
        <v>218</v>
      </c>
      <c r="H836" s="21">
        <v>-5.0199999999999996</v>
      </c>
      <c r="I836" s="21">
        <v>74.8</v>
      </c>
    </row>
    <row r="837" spans="2:9" x14ac:dyDescent="0.45">
      <c r="B837" s="20" t="s">
        <v>540</v>
      </c>
      <c r="C837" s="20" t="s">
        <v>233</v>
      </c>
      <c r="D837" s="20" t="s">
        <v>864</v>
      </c>
      <c r="E837" s="20" t="s">
        <v>373</v>
      </c>
      <c r="F837" s="20" t="s">
        <v>865</v>
      </c>
      <c r="G837" s="20" t="s">
        <v>218</v>
      </c>
      <c r="H837" s="21">
        <v>149.19</v>
      </c>
      <c r="I837" s="21">
        <v>223.99</v>
      </c>
    </row>
    <row r="838" spans="2:9" x14ac:dyDescent="0.45">
      <c r="B838" s="20" t="s">
        <v>540</v>
      </c>
      <c r="C838" s="20" t="s">
        <v>233</v>
      </c>
      <c r="D838" s="20" t="s">
        <v>864</v>
      </c>
      <c r="E838" s="20" t="s">
        <v>373</v>
      </c>
      <c r="F838" s="20" t="s">
        <v>237</v>
      </c>
      <c r="G838" s="20" t="s">
        <v>218</v>
      </c>
      <c r="H838" s="21">
        <v>-2.16</v>
      </c>
      <c r="I838" s="21">
        <v>221.83</v>
      </c>
    </row>
    <row r="839" spans="2:9" x14ac:dyDescent="0.45">
      <c r="B839" s="20" t="s">
        <v>540</v>
      </c>
      <c r="C839" s="20" t="s">
        <v>233</v>
      </c>
      <c r="D839" s="20" t="s">
        <v>864</v>
      </c>
      <c r="E839" s="20" t="s">
        <v>373</v>
      </c>
      <c r="F839" s="20" t="s">
        <v>244</v>
      </c>
      <c r="G839" s="20" t="s">
        <v>218</v>
      </c>
      <c r="H839" s="21">
        <v>-9.25</v>
      </c>
      <c r="I839" s="21">
        <v>212.58</v>
      </c>
    </row>
    <row r="840" spans="2:9" x14ac:dyDescent="0.45">
      <c r="B840" s="20" t="s">
        <v>570</v>
      </c>
      <c r="C840" s="20" t="s">
        <v>233</v>
      </c>
      <c r="D840" s="20" t="s">
        <v>234</v>
      </c>
      <c r="E840" s="20" t="s">
        <v>245</v>
      </c>
      <c r="F840" s="20" t="s">
        <v>845</v>
      </c>
      <c r="G840" s="20" t="s">
        <v>199</v>
      </c>
      <c r="H840" s="21">
        <v>163</v>
      </c>
      <c r="I840" s="21">
        <v>375.58000000000004</v>
      </c>
    </row>
    <row r="841" spans="2:9" x14ac:dyDescent="0.45">
      <c r="B841" s="20" t="s">
        <v>577</v>
      </c>
      <c r="C841" s="20" t="s">
        <v>233</v>
      </c>
      <c r="D841" s="20" t="s">
        <v>284</v>
      </c>
      <c r="E841" s="20" t="s">
        <v>369</v>
      </c>
      <c r="F841" s="20" t="s">
        <v>866</v>
      </c>
      <c r="G841" s="20" t="s">
        <v>218</v>
      </c>
      <c r="H841" s="21">
        <v>93.78</v>
      </c>
      <c r="I841" s="21">
        <v>469.36</v>
      </c>
    </row>
    <row r="842" spans="2:9" x14ac:dyDescent="0.45">
      <c r="B842" s="20" t="s">
        <v>577</v>
      </c>
      <c r="C842" s="20" t="s">
        <v>233</v>
      </c>
      <c r="D842" s="20" t="s">
        <v>284</v>
      </c>
      <c r="E842" s="20" t="s">
        <v>369</v>
      </c>
      <c r="F842" s="20" t="s">
        <v>843</v>
      </c>
      <c r="G842" s="20" t="s">
        <v>218</v>
      </c>
      <c r="H842" s="21">
        <v>-1.36</v>
      </c>
      <c r="I842" s="21">
        <v>468</v>
      </c>
    </row>
    <row r="843" spans="2:9" x14ac:dyDescent="0.45">
      <c r="B843" s="20" t="s">
        <v>577</v>
      </c>
      <c r="C843" s="20" t="s">
        <v>233</v>
      </c>
      <c r="D843" s="20" t="s">
        <v>284</v>
      </c>
      <c r="E843" s="20" t="s">
        <v>369</v>
      </c>
      <c r="F843" s="20" t="s">
        <v>244</v>
      </c>
      <c r="G843" s="20" t="s">
        <v>218</v>
      </c>
      <c r="H843" s="21">
        <v>-5.81</v>
      </c>
      <c r="I843" s="21">
        <v>462.19</v>
      </c>
    </row>
    <row r="844" spans="2:9" x14ac:dyDescent="0.45">
      <c r="B844" s="20" t="s">
        <v>571</v>
      </c>
      <c r="C844" s="20" t="s">
        <v>233</v>
      </c>
      <c r="D844" s="20" t="s">
        <v>234</v>
      </c>
      <c r="E844" s="20" t="s">
        <v>245</v>
      </c>
      <c r="F844" s="20" t="s">
        <v>371</v>
      </c>
      <c r="G844" s="20" t="s">
        <v>199</v>
      </c>
      <c r="H844" s="21">
        <v>14.35</v>
      </c>
      <c r="I844" s="21">
        <v>476.54</v>
      </c>
    </row>
    <row r="845" spans="2:9" x14ac:dyDescent="0.45">
      <c r="B845" s="20" t="s">
        <v>579</v>
      </c>
      <c r="C845" s="20" t="s">
        <v>233</v>
      </c>
      <c r="D845" s="20" t="s">
        <v>234</v>
      </c>
      <c r="E845" s="20" t="s">
        <v>369</v>
      </c>
      <c r="F845" s="20" t="s">
        <v>867</v>
      </c>
      <c r="G845" s="20" t="s">
        <v>218</v>
      </c>
      <c r="H845" s="21">
        <v>396.41</v>
      </c>
      <c r="I845" s="21">
        <v>872.95</v>
      </c>
    </row>
    <row r="846" spans="2:9" x14ac:dyDescent="0.45">
      <c r="B846" s="20" t="s">
        <v>579</v>
      </c>
      <c r="C846" s="20" t="s">
        <v>233</v>
      </c>
      <c r="D846" s="20" t="s">
        <v>234</v>
      </c>
      <c r="E846" s="20" t="s">
        <v>369</v>
      </c>
      <c r="F846" s="20" t="s">
        <v>237</v>
      </c>
      <c r="G846" s="20" t="s">
        <v>218</v>
      </c>
      <c r="H846" s="21">
        <v>-6.74</v>
      </c>
      <c r="I846" s="21">
        <v>866.21</v>
      </c>
    </row>
    <row r="847" spans="2:9" x14ac:dyDescent="0.45">
      <c r="B847" s="20" t="s">
        <v>579</v>
      </c>
      <c r="C847" s="20" t="s">
        <v>233</v>
      </c>
      <c r="D847" s="20" t="s">
        <v>234</v>
      </c>
      <c r="E847" s="20" t="s">
        <v>369</v>
      </c>
      <c r="F847" s="20" t="s">
        <v>244</v>
      </c>
      <c r="G847" s="20" t="s">
        <v>218</v>
      </c>
      <c r="H847" s="21">
        <v>-28.81</v>
      </c>
      <c r="I847" s="21">
        <v>837.40000000000009</v>
      </c>
    </row>
    <row r="848" spans="2:9" x14ac:dyDescent="0.45">
      <c r="B848" s="20" t="s">
        <v>232</v>
      </c>
      <c r="C848" s="20" t="s">
        <v>233</v>
      </c>
      <c r="D848" s="20" t="s">
        <v>234</v>
      </c>
      <c r="E848" s="20" t="s">
        <v>369</v>
      </c>
      <c r="F848" s="20" t="s">
        <v>370</v>
      </c>
      <c r="G848" s="20" t="s">
        <v>218</v>
      </c>
      <c r="H848" s="21">
        <v>85.25</v>
      </c>
      <c r="I848" s="21">
        <v>922.65000000000009</v>
      </c>
    </row>
    <row r="849" spans="1:9" x14ac:dyDescent="0.45">
      <c r="B849" s="20" t="s">
        <v>232</v>
      </c>
      <c r="C849" s="20" t="s">
        <v>233</v>
      </c>
      <c r="D849" s="20" t="s">
        <v>234</v>
      </c>
      <c r="E849" s="20" t="s">
        <v>369</v>
      </c>
      <c r="F849" s="20" t="s">
        <v>237</v>
      </c>
      <c r="G849" s="20" t="s">
        <v>218</v>
      </c>
      <c r="H849" s="21">
        <v>-1.24</v>
      </c>
      <c r="I849" s="21">
        <v>921.41000000000008</v>
      </c>
    </row>
    <row r="850" spans="1:9" x14ac:dyDescent="0.45">
      <c r="B850" s="20" t="s">
        <v>232</v>
      </c>
      <c r="C850" s="20" t="s">
        <v>233</v>
      </c>
      <c r="D850" s="20" t="s">
        <v>234</v>
      </c>
      <c r="E850" s="20" t="s">
        <v>369</v>
      </c>
      <c r="F850" s="20" t="s">
        <v>244</v>
      </c>
      <c r="G850" s="20" t="s">
        <v>218</v>
      </c>
      <c r="H850" s="21">
        <v>-5.29</v>
      </c>
      <c r="I850" s="21">
        <v>916.12000000000012</v>
      </c>
    </row>
    <row r="851" spans="1:9" x14ac:dyDescent="0.45">
      <c r="B851" s="20" t="s">
        <v>232</v>
      </c>
      <c r="C851" s="20" t="s">
        <v>233</v>
      </c>
      <c r="D851" s="20" t="s">
        <v>234</v>
      </c>
      <c r="E851" s="20" t="s">
        <v>245</v>
      </c>
      <c r="F851" s="20" t="s">
        <v>371</v>
      </c>
      <c r="G851" s="20" t="s">
        <v>199</v>
      </c>
      <c r="H851" s="21">
        <v>71.099999999999994</v>
      </c>
      <c r="I851" s="21">
        <v>987.22000000000014</v>
      </c>
    </row>
    <row r="852" spans="1:9" x14ac:dyDescent="0.45">
      <c r="B852" s="20" t="s">
        <v>247</v>
      </c>
      <c r="C852" s="20" t="s">
        <v>233</v>
      </c>
      <c r="D852" s="20" t="s">
        <v>372</v>
      </c>
      <c r="E852" s="20" t="s">
        <v>373</v>
      </c>
      <c r="F852" s="20" t="s">
        <v>374</v>
      </c>
      <c r="G852" s="20" t="s">
        <v>218</v>
      </c>
      <c r="H852" s="21">
        <v>417.73</v>
      </c>
      <c r="I852" s="21">
        <v>1404.9500000000003</v>
      </c>
    </row>
    <row r="853" spans="1:9" x14ac:dyDescent="0.45">
      <c r="B853" s="20" t="s">
        <v>247</v>
      </c>
      <c r="C853" s="20" t="s">
        <v>233</v>
      </c>
      <c r="D853" s="20" t="s">
        <v>372</v>
      </c>
      <c r="E853" s="20" t="s">
        <v>373</v>
      </c>
      <c r="F853" s="20" t="s">
        <v>237</v>
      </c>
      <c r="G853" s="20" t="s">
        <v>218</v>
      </c>
      <c r="H853" s="21">
        <v>-6.06</v>
      </c>
      <c r="I853" s="21">
        <v>1398.8900000000003</v>
      </c>
    </row>
    <row r="854" spans="1:9" x14ac:dyDescent="0.45">
      <c r="B854" s="20" t="s">
        <v>247</v>
      </c>
      <c r="C854" s="20" t="s">
        <v>233</v>
      </c>
      <c r="D854" s="20" t="s">
        <v>372</v>
      </c>
      <c r="E854" s="20" t="s">
        <v>373</v>
      </c>
      <c r="F854" s="20" t="s">
        <v>244</v>
      </c>
      <c r="G854" s="20" t="s">
        <v>218</v>
      </c>
      <c r="H854" s="21">
        <v>-25.9</v>
      </c>
      <c r="I854" s="21">
        <v>1372.9900000000002</v>
      </c>
    </row>
    <row r="855" spans="1:9" x14ac:dyDescent="0.45">
      <c r="B855" s="20" t="s">
        <v>213</v>
      </c>
      <c r="C855" s="20" t="s">
        <v>233</v>
      </c>
      <c r="D855" s="20" t="s">
        <v>234</v>
      </c>
      <c r="E855" s="20" t="s">
        <v>245</v>
      </c>
      <c r="F855" s="20" t="s">
        <v>371</v>
      </c>
      <c r="G855" s="20" t="s">
        <v>199</v>
      </c>
      <c r="H855" s="21">
        <v>76.95</v>
      </c>
      <c r="I855" s="21">
        <v>1449.9400000000003</v>
      </c>
    </row>
    <row r="856" spans="1:9" x14ac:dyDescent="0.45">
      <c r="A856" s="27" t="s">
        <v>375</v>
      </c>
      <c r="H856" s="22">
        <f>H831+H832+H833+H834+H835+H836+H837+H838+H839+H840+H841+H842+H843+H844+H845+H846+H847+H848+H849+H850+H851+H852+H853+H854+H855</f>
        <v>1449.9400000000003</v>
      </c>
    </row>
    <row r="857" spans="1:9" x14ac:dyDescent="0.45">
      <c r="A857" s="7" t="s">
        <v>129</v>
      </c>
    </row>
    <row r="858" spans="1:9" x14ac:dyDescent="0.45">
      <c r="B858" s="20" t="s">
        <v>555</v>
      </c>
      <c r="C858" s="20" t="s">
        <v>233</v>
      </c>
      <c r="D858" s="20" t="s">
        <v>284</v>
      </c>
      <c r="E858" s="20" t="s">
        <v>362</v>
      </c>
      <c r="F858" s="20" t="s">
        <v>868</v>
      </c>
      <c r="G858" s="20" t="s">
        <v>218</v>
      </c>
      <c r="H858" s="21">
        <v>6537.52</v>
      </c>
      <c r="I858" s="21">
        <v>6537.52</v>
      </c>
    </row>
    <row r="859" spans="1:9" x14ac:dyDescent="0.45">
      <c r="B859" s="20" t="s">
        <v>555</v>
      </c>
      <c r="C859" s="20" t="s">
        <v>233</v>
      </c>
      <c r="D859" s="20" t="s">
        <v>284</v>
      </c>
      <c r="E859" s="20" t="s">
        <v>362</v>
      </c>
      <c r="F859" s="20" t="s">
        <v>253</v>
      </c>
      <c r="G859" s="20" t="s">
        <v>218</v>
      </c>
      <c r="H859" s="21">
        <v>-800</v>
      </c>
      <c r="I859" s="21">
        <v>5737.52</v>
      </c>
    </row>
    <row r="860" spans="1:9" x14ac:dyDescent="0.45">
      <c r="B860" s="20" t="s">
        <v>555</v>
      </c>
      <c r="C860" s="20" t="s">
        <v>233</v>
      </c>
      <c r="D860" s="20" t="s">
        <v>284</v>
      </c>
      <c r="E860" s="20" t="s">
        <v>362</v>
      </c>
      <c r="F860" s="20" t="s">
        <v>263</v>
      </c>
      <c r="G860" s="20" t="s">
        <v>218</v>
      </c>
      <c r="H860" s="21">
        <v>-462.15</v>
      </c>
      <c r="I860" s="21">
        <v>5275.3700000000008</v>
      </c>
    </row>
    <row r="861" spans="1:9" x14ac:dyDescent="0.45">
      <c r="B861" s="20" t="s">
        <v>555</v>
      </c>
      <c r="C861" s="20" t="s">
        <v>233</v>
      </c>
      <c r="D861" s="20" t="s">
        <v>284</v>
      </c>
      <c r="E861" s="20" t="s">
        <v>362</v>
      </c>
      <c r="F861" s="20" t="s">
        <v>237</v>
      </c>
      <c r="G861" s="20" t="s">
        <v>218</v>
      </c>
      <c r="H861" s="21">
        <v>-144.84</v>
      </c>
      <c r="I861" s="21">
        <v>5130.5300000000007</v>
      </c>
    </row>
    <row r="862" spans="1:9" x14ac:dyDescent="0.45">
      <c r="B862" s="20" t="s">
        <v>555</v>
      </c>
      <c r="C862" s="20" t="s">
        <v>233</v>
      </c>
      <c r="D862" s="20" t="s">
        <v>284</v>
      </c>
      <c r="E862" s="20" t="s">
        <v>362</v>
      </c>
      <c r="F862" s="20" t="s">
        <v>244</v>
      </c>
      <c r="G862" s="20" t="s">
        <v>218</v>
      </c>
      <c r="H862" s="21">
        <v>-619.29999999999995</v>
      </c>
      <c r="I862" s="21">
        <v>4511.2300000000005</v>
      </c>
    </row>
    <row r="863" spans="1:9" x14ac:dyDescent="0.45">
      <c r="B863" s="20" t="s">
        <v>555</v>
      </c>
      <c r="C863" s="20" t="s">
        <v>233</v>
      </c>
      <c r="D863" s="20" t="s">
        <v>284</v>
      </c>
      <c r="E863" s="20" t="s">
        <v>362</v>
      </c>
      <c r="F863" s="20" t="s">
        <v>869</v>
      </c>
      <c r="G863" s="20" t="s">
        <v>218</v>
      </c>
      <c r="H863" s="21">
        <v>100</v>
      </c>
      <c r="I863" s="21">
        <v>4611.2300000000005</v>
      </c>
    </row>
    <row r="864" spans="1:9" x14ac:dyDescent="0.45">
      <c r="B864" s="20" t="s">
        <v>449</v>
      </c>
      <c r="C864" s="20" t="s">
        <v>233</v>
      </c>
      <c r="D864" s="20" t="s">
        <v>234</v>
      </c>
      <c r="E864" s="20" t="s">
        <v>245</v>
      </c>
      <c r="F864" s="20" t="s">
        <v>870</v>
      </c>
      <c r="G864" s="20" t="s">
        <v>199</v>
      </c>
      <c r="H864" s="21">
        <v>4.0599999999999996</v>
      </c>
      <c r="I864" s="21">
        <v>4615.2900000000009</v>
      </c>
    </row>
    <row r="865" spans="2:9" x14ac:dyDescent="0.45">
      <c r="B865" s="20" t="s">
        <v>435</v>
      </c>
      <c r="C865" s="20" t="s">
        <v>233</v>
      </c>
      <c r="D865" s="20" t="s">
        <v>234</v>
      </c>
      <c r="E865" s="20" t="s">
        <v>245</v>
      </c>
      <c r="F865" s="20" t="s">
        <v>871</v>
      </c>
      <c r="G865" s="20" t="s">
        <v>199</v>
      </c>
      <c r="H865" s="21">
        <v>2328.27</v>
      </c>
      <c r="I865" s="21">
        <v>6943.5600000000013</v>
      </c>
    </row>
    <row r="866" spans="2:9" x14ac:dyDescent="0.45">
      <c r="B866" s="20" t="s">
        <v>463</v>
      </c>
      <c r="C866" s="20" t="s">
        <v>233</v>
      </c>
      <c r="D866" s="20" t="s">
        <v>234</v>
      </c>
      <c r="E866" s="20" t="s">
        <v>266</v>
      </c>
      <c r="F866" s="20" t="s">
        <v>379</v>
      </c>
      <c r="G866" s="20" t="s">
        <v>218</v>
      </c>
      <c r="H866" s="21">
        <v>462.15</v>
      </c>
      <c r="I866" s="21">
        <v>7405.7100000000009</v>
      </c>
    </row>
    <row r="867" spans="2:9" x14ac:dyDescent="0.45">
      <c r="B867" s="20" t="s">
        <v>465</v>
      </c>
      <c r="C867" s="20" t="s">
        <v>233</v>
      </c>
      <c r="D867" s="20" t="s">
        <v>861</v>
      </c>
      <c r="E867" s="20" t="s">
        <v>362</v>
      </c>
      <c r="F867" s="20" t="s">
        <v>872</v>
      </c>
      <c r="G867" s="20" t="s">
        <v>218</v>
      </c>
      <c r="H867" s="21">
        <v>7484.7</v>
      </c>
      <c r="I867" s="21">
        <v>14890.41</v>
      </c>
    </row>
    <row r="868" spans="2:9" x14ac:dyDescent="0.45">
      <c r="B868" s="20" t="s">
        <v>465</v>
      </c>
      <c r="C868" s="20" t="s">
        <v>233</v>
      </c>
      <c r="D868" s="20" t="s">
        <v>861</v>
      </c>
      <c r="E868" s="20" t="s">
        <v>362</v>
      </c>
      <c r="F868" s="20" t="s">
        <v>237</v>
      </c>
      <c r="G868" s="20" t="s">
        <v>218</v>
      </c>
      <c r="H868" s="21">
        <v>-151.12</v>
      </c>
      <c r="I868" s="21">
        <v>14739.289999999999</v>
      </c>
    </row>
    <row r="869" spans="2:9" x14ac:dyDescent="0.45">
      <c r="B869" s="20" t="s">
        <v>465</v>
      </c>
      <c r="C869" s="20" t="s">
        <v>233</v>
      </c>
      <c r="D869" s="20" t="s">
        <v>861</v>
      </c>
      <c r="E869" s="20" t="s">
        <v>362</v>
      </c>
      <c r="F869" s="20" t="s">
        <v>244</v>
      </c>
      <c r="G869" s="20" t="s">
        <v>218</v>
      </c>
      <c r="H869" s="21">
        <v>-646.15</v>
      </c>
      <c r="I869" s="21">
        <v>14093.14</v>
      </c>
    </row>
    <row r="870" spans="2:9" x14ac:dyDescent="0.45">
      <c r="B870" s="20" t="s">
        <v>465</v>
      </c>
      <c r="C870" s="20" t="s">
        <v>233</v>
      </c>
      <c r="D870" s="20" t="s">
        <v>861</v>
      </c>
      <c r="E870" s="20" t="s">
        <v>362</v>
      </c>
      <c r="F870" s="20" t="s">
        <v>377</v>
      </c>
      <c r="G870" s="20" t="s">
        <v>218</v>
      </c>
      <c r="H870" s="21">
        <v>-780</v>
      </c>
      <c r="I870" s="21">
        <v>13313.14</v>
      </c>
    </row>
    <row r="871" spans="2:9" x14ac:dyDescent="0.45">
      <c r="B871" s="20" t="s">
        <v>465</v>
      </c>
      <c r="C871" s="20" t="s">
        <v>233</v>
      </c>
      <c r="D871" s="20" t="s">
        <v>861</v>
      </c>
      <c r="E871" s="20" t="s">
        <v>362</v>
      </c>
      <c r="F871" s="20" t="s">
        <v>263</v>
      </c>
      <c r="G871" s="20" t="s">
        <v>218</v>
      </c>
      <c r="H871" s="21">
        <v>-483.43</v>
      </c>
      <c r="I871" s="21">
        <v>12829.71</v>
      </c>
    </row>
    <row r="872" spans="2:9" x14ac:dyDescent="0.45">
      <c r="B872" s="20" t="s">
        <v>439</v>
      </c>
      <c r="C872" s="20" t="s">
        <v>233</v>
      </c>
      <c r="D872" s="20" t="s">
        <v>234</v>
      </c>
      <c r="E872" s="20" t="s">
        <v>266</v>
      </c>
      <c r="F872" s="20" t="s">
        <v>379</v>
      </c>
      <c r="G872" s="20" t="s">
        <v>218</v>
      </c>
      <c r="H872" s="21">
        <v>483.43</v>
      </c>
      <c r="I872" s="21">
        <v>13313.14</v>
      </c>
    </row>
    <row r="873" spans="2:9" x14ac:dyDescent="0.45">
      <c r="B873" s="20" t="s">
        <v>564</v>
      </c>
      <c r="C873" s="20" t="s">
        <v>233</v>
      </c>
      <c r="D873" s="20" t="s">
        <v>234</v>
      </c>
      <c r="E873" s="20" t="s">
        <v>245</v>
      </c>
      <c r="F873" s="20" t="s">
        <v>871</v>
      </c>
      <c r="G873" s="20" t="s">
        <v>199</v>
      </c>
      <c r="H873" s="21">
        <v>2374.5500000000002</v>
      </c>
      <c r="I873" s="21">
        <v>15687.689999999999</v>
      </c>
    </row>
    <row r="874" spans="2:9" x14ac:dyDescent="0.45">
      <c r="B874" s="20" t="s">
        <v>574</v>
      </c>
      <c r="C874" s="20" t="s">
        <v>233</v>
      </c>
      <c r="D874" s="20" t="s">
        <v>295</v>
      </c>
      <c r="E874" s="20" t="s">
        <v>362</v>
      </c>
      <c r="F874" s="20" t="s">
        <v>873</v>
      </c>
      <c r="G874" s="20" t="s">
        <v>218</v>
      </c>
      <c r="H874" s="21">
        <v>5856</v>
      </c>
      <c r="I874" s="21">
        <v>21543.69</v>
      </c>
    </row>
    <row r="875" spans="2:9" x14ac:dyDescent="0.45">
      <c r="B875" s="20" t="s">
        <v>574</v>
      </c>
      <c r="C875" s="20" t="s">
        <v>233</v>
      </c>
      <c r="D875" s="20" t="s">
        <v>295</v>
      </c>
      <c r="E875" s="20" t="s">
        <v>362</v>
      </c>
      <c r="F875" s="20" t="s">
        <v>237</v>
      </c>
      <c r="G875" s="20" t="s">
        <v>218</v>
      </c>
      <c r="H875" s="21">
        <v>-105.81</v>
      </c>
      <c r="I875" s="21">
        <v>21437.879999999997</v>
      </c>
    </row>
    <row r="876" spans="2:9" x14ac:dyDescent="0.45">
      <c r="B876" s="20" t="s">
        <v>574</v>
      </c>
      <c r="C876" s="20" t="s">
        <v>233</v>
      </c>
      <c r="D876" s="20" t="s">
        <v>295</v>
      </c>
      <c r="E876" s="20" t="s">
        <v>362</v>
      </c>
      <c r="F876" s="20" t="s">
        <v>244</v>
      </c>
      <c r="G876" s="20" t="s">
        <v>218</v>
      </c>
      <c r="H876" s="21">
        <v>-452.42</v>
      </c>
      <c r="I876" s="21">
        <v>20985.46</v>
      </c>
    </row>
    <row r="877" spans="2:9" x14ac:dyDescent="0.45">
      <c r="B877" s="20" t="s">
        <v>574</v>
      </c>
      <c r="C877" s="20" t="s">
        <v>233</v>
      </c>
      <c r="D877" s="20" t="s">
        <v>295</v>
      </c>
      <c r="E877" s="20" t="s">
        <v>362</v>
      </c>
      <c r="F877" s="20" t="s">
        <v>377</v>
      </c>
      <c r="G877" s="20" t="s">
        <v>218</v>
      </c>
      <c r="H877" s="21">
        <v>-747</v>
      </c>
      <c r="I877" s="21">
        <v>20238.46</v>
      </c>
    </row>
    <row r="878" spans="2:9" x14ac:dyDescent="0.45">
      <c r="B878" s="20" t="s">
        <v>574</v>
      </c>
      <c r="C878" s="20" t="s">
        <v>233</v>
      </c>
      <c r="D878" s="20" t="s">
        <v>295</v>
      </c>
      <c r="E878" s="20" t="s">
        <v>362</v>
      </c>
      <c r="F878" s="20" t="s">
        <v>263</v>
      </c>
      <c r="G878" s="20" t="s">
        <v>218</v>
      </c>
      <c r="H878" s="21">
        <v>-329.75</v>
      </c>
      <c r="I878" s="21">
        <v>19908.71</v>
      </c>
    </row>
    <row r="879" spans="2:9" x14ac:dyDescent="0.45">
      <c r="B879" s="20" t="s">
        <v>565</v>
      </c>
      <c r="C879" s="20" t="s">
        <v>233</v>
      </c>
      <c r="D879" s="20" t="s">
        <v>284</v>
      </c>
      <c r="E879" s="20" t="s">
        <v>266</v>
      </c>
      <c r="F879" s="20" t="s">
        <v>379</v>
      </c>
      <c r="G879" s="20" t="s">
        <v>218</v>
      </c>
      <c r="H879" s="21">
        <v>329.75</v>
      </c>
      <c r="I879" s="21">
        <v>20238.46</v>
      </c>
    </row>
    <row r="880" spans="2:9" x14ac:dyDescent="0.45">
      <c r="B880" s="20" t="s">
        <v>565</v>
      </c>
      <c r="C880" s="20" t="s">
        <v>233</v>
      </c>
      <c r="D880" s="20" t="s">
        <v>234</v>
      </c>
      <c r="E880" s="20" t="s">
        <v>245</v>
      </c>
      <c r="F880" s="20" t="s">
        <v>378</v>
      </c>
      <c r="G880" s="20" t="s">
        <v>199</v>
      </c>
      <c r="H880" s="21">
        <v>1863.46</v>
      </c>
      <c r="I880" s="21">
        <v>22101.919999999998</v>
      </c>
    </row>
    <row r="881" spans="2:9" x14ac:dyDescent="0.45">
      <c r="B881" s="20" t="s">
        <v>566</v>
      </c>
      <c r="C881" s="20" t="s">
        <v>233</v>
      </c>
      <c r="D881" s="20" t="s">
        <v>284</v>
      </c>
      <c r="E881" s="20" t="s">
        <v>362</v>
      </c>
      <c r="F881" s="20" t="s">
        <v>376</v>
      </c>
      <c r="G881" s="20" t="s">
        <v>218</v>
      </c>
      <c r="H881" s="21">
        <v>6441.6</v>
      </c>
      <c r="I881" s="21">
        <v>28543.519999999997</v>
      </c>
    </row>
    <row r="882" spans="2:9" x14ac:dyDescent="0.45">
      <c r="B882" s="20" t="s">
        <v>566</v>
      </c>
      <c r="C882" s="20" t="s">
        <v>233</v>
      </c>
      <c r="D882" s="20" t="s">
        <v>284</v>
      </c>
      <c r="E882" s="20" t="s">
        <v>362</v>
      </c>
      <c r="F882" s="20" t="s">
        <v>237</v>
      </c>
      <c r="G882" s="20" t="s">
        <v>218</v>
      </c>
      <c r="H882" s="21">
        <v>-116.49</v>
      </c>
      <c r="I882" s="21">
        <v>28427.029999999995</v>
      </c>
    </row>
    <row r="883" spans="2:9" x14ac:dyDescent="0.45">
      <c r="B883" s="20" t="s">
        <v>566</v>
      </c>
      <c r="C883" s="20" t="s">
        <v>233</v>
      </c>
      <c r="D883" s="20" t="s">
        <v>284</v>
      </c>
      <c r="E883" s="20" t="s">
        <v>362</v>
      </c>
      <c r="F883" s="20" t="s">
        <v>244</v>
      </c>
      <c r="G883" s="20" t="s">
        <v>218</v>
      </c>
      <c r="H883" s="21">
        <v>-498.09</v>
      </c>
      <c r="I883" s="21">
        <v>27928.939999999995</v>
      </c>
    </row>
    <row r="884" spans="2:9" x14ac:dyDescent="0.45">
      <c r="B884" s="20" t="s">
        <v>566</v>
      </c>
      <c r="C884" s="20" t="s">
        <v>233</v>
      </c>
      <c r="D884" s="20" t="s">
        <v>284</v>
      </c>
      <c r="E884" s="20" t="s">
        <v>362</v>
      </c>
      <c r="F884" s="20" t="s">
        <v>377</v>
      </c>
      <c r="G884" s="20" t="s">
        <v>218</v>
      </c>
      <c r="H884" s="21">
        <v>-572</v>
      </c>
      <c r="I884" s="21">
        <v>27356.939999999995</v>
      </c>
    </row>
    <row r="885" spans="2:9" x14ac:dyDescent="0.45">
      <c r="B885" s="20" t="s">
        <v>566</v>
      </c>
      <c r="C885" s="20" t="s">
        <v>233</v>
      </c>
      <c r="D885" s="20" t="s">
        <v>284</v>
      </c>
      <c r="E885" s="20" t="s">
        <v>362</v>
      </c>
      <c r="F885" s="20" t="s">
        <v>263</v>
      </c>
      <c r="G885" s="20" t="s">
        <v>218</v>
      </c>
      <c r="H885" s="21">
        <v>-396.62</v>
      </c>
      <c r="I885" s="21">
        <v>26960.319999999996</v>
      </c>
    </row>
    <row r="886" spans="2:9" x14ac:dyDescent="0.45">
      <c r="B886" s="20" t="s">
        <v>570</v>
      </c>
      <c r="C886" s="20" t="s">
        <v>233</v>
      </c>
      <c r="D886" s="20" t="s">
        <v>234</v>
      </c>
      <c r="E886" s="20" t="s">
        <v>245</v>
      </c>
      <c r="F886" s="20" t="s">
        <v>871</v>
      </c>
      <c r="G886" s="20" t="s">
        <v>199</v>
      </c>
      <c r="H886" s="21">
        <v>1801.16</v>
      </c>
      <c r="I886" s="21">
        <v>28761.479999999996</v>
      </c>
    </row>
    <row r="887" spans="2:9" x14ac:dyDescent="0.45">
      <c r="B887" s="20" t="s">
        <v>570</v>
      </c>
      <c r="C887" s="20" t="s">
        <v>233</v>
      </c>
      <c r="D887" s="20" t="s">
        <v>234</v>
      </c>
      <c r="E887" s="20" t="s">
        <v>266</v>
      </c>
      <c r="F887" s="20" t="s">
        <v>379</v>
      </c>
      <c r="G887" s="20" t="s">
        <v>218</v>
      </c>
      <c r="H887" s="21">
        <v>396.62</v>
      </c>
      <c r="I887" s="21">
        <v>29158.099999999995</v>
      </c>
    </row>
    <row r="888" spans="2:9" x14ac:dyDescent="0.45">
      <c r="B888" s="20" t="s">
        <v>577</v>
      </c>
      <c r="C888" s="20" t="s">
        <v>233</v>
      </c>
      <c r="D888" s="20" t="s">
        <v>295</v>
      </c>
      <c r="E888" s="20" t="s">
        <v>362</v>
      </c>
      <c r="F888" s="20" t="s">
        <v>376</v>
      </c>
      <c r="G888" s="20" t="s">
        <v>218</v>
      </c>
      <c r="H888" s="21">
        <v>6441.6</v>
      </c>
      <c r="I888" s="21">
        <v>35599.699999999997</v>
      </c>
    </row>
    <row r="889" spans="2:9" x14ac:dyDescent="0.45">
      <c r="B889" s="20" t="s">
        <v>577</v>
      </c>
      <c r="C889" s="20" t="s">
        <v>233</v>
      </c>
      <c r="D889" s="20" t="s">
        <v>295</v>
      </c>
      <c r="E889" s="20" t="s">
        <v>362</v>
      </c>
      <c r="F889" s="20" t="s">
        <v>237</v>
      </c>
      <c r="G889" s="20" t="s">
        <v>218</v>
      </c>
      <c r="H889" s="21">
        <v>-120.27</v>
      </c>
      <c r="I889" s="21">
        <v>35479.43</v>
      </c>
    </row>
    <row r="890" spans="2:9" x14ac:dyDescent="0.45">
      <c r="B890" s="20" t="s">
        <v>577</v>
      </c>
      <c r="C890" s="20" t="s">
        <v>233</v>
      </c>
      <c r="D890" s="20" t="s">
        <v>295</v>
      </c>
      <c r="E890" s="20" t="s">
        <v>362</v>
      </c>
      <c r="F890" s="20" t="s">
        <v>244</v>
      </c>
      <c r="G890" s="20" t="s">
        <v>218</v>
      </c>
      <c r="H890" s="21">
        <v>-514.26</v>
      </c>
      <c r="I890" s="21">
        <v>34965.17</v>
      </c>
    </row>
    <row r="891" spans="2:9" x14ac:dyDescent="0.45">
      <c r="B891" s="20" t="s">
        <v>577</v>
      </c>
      <c r="C891" s="20" t="s">
        <v>233</v>
      </c>
      <c r="D891" s="20" t="s">
        <v>295</v>
      </c>
      <c r="E891" s="20" t="s">
        <v>362</v>
      </c>
      <c r="F891" s="20" t="s">
        <v>377</v>
      </c>
      <c r="G891" s="20" t="s">
        <v>218</v>
      </c>
      <c r="H891" s="21">
        <v>-601</v>
      </c>
      <c r="I891" s="21">
        <v>34364.17</v>
      </c>
    </row>
    <row r="892" spans="2:9" x14ac:dyDescent="0.45">
      <c r="B892" s="20" t="s">
        <v>577</v>
      </c>
      <c r="C892" s="20" t="s">
        <v>233</v>
      </c>
      <c r="D892" s="20" t="s">
        <v>295</v>
      </c>
      <c r="E892" s="20" t="s">
        <v>362</v>
      </c>
      <c r="F892" s="20" t="s">
        <v>263</v>
      </c>
      <c r="G892" s="20" t="s">
        <v>218</v>
      </c>
      <c r="H892" s="21">
        <v>-378.8</v>
      </c>
      <c r="I892" s="21">
        <v>33985.369999999995</v>
      </c>
    </row>
    <row r="893" spans="2:9" x14ac:dyDescent="0.45">
      <c r="B893" s="20" t="s">
        <v>571</v>
      </c>
      <c r="C893" s="20" t="s">
        <v>233</v>
      </c>
      <c r="D893" s="20" t="s">
        <v>234</v>
      </c>
      <c r="E893" s="20" t="s">
        <v>266</v>
      </c>
      <c r="F893" s="20" t="s">
        <v>379</v>
      </c>
      <c r="G893" s="20" t="s">
        <v>218</v>
      </c>
      <c r="H893" s="21">
        <v>378.8</v>
      </c>
      <c r="I893" s="21">
        <v>34364.17</v>
      </c>
    </row>
    <row r="894" spans="2:9" x14ac:dyDescent="0.45">
      <c r="B894" s="20" t="s">
        <v>571</v>
      </c>
      <c r="C894" s="20" t="s">
        <v>233</v>
      </c>
      <c r="D894" s="20" t="s">
        <v>234</v>
      </c>
      <c r="E894" s="20" t="s">
        <v>245</v>
      </c>
      <c r="F894" s="20" t="s">
        <v>378</v>
      </c>
      <c r="G894" s="20" t="s">
        <v>199</v>
      </c>
      <c r="H894" s="21">
        <v>1870.05</v>
      </c>
      <c r="I894" s="21">
        <v>36234.22</v>
      </c>
    </row>
    <row r="895" spans="2:9" x14ac:dyDescent="0.45">
      <c r="B895" s="20" t="s">
        <v>579</v>
      </c>
      <c r="C895" s="20" t="s">
        <v>233</v>
      </c>
      <c r="D895" s="20" t="s">
        <v>234</v>
      </c>
      <c r="E895" s="20" t="s">
        <v>362</v>
      </c>
      <c r="F895" s="20" t="s">
        <v>874</v>
      </c>
      <c r="G895" s="20" t="s">
        <v>218</v>
      </c>
      <c r="H895" s="21">
        <v>6148.8</v>
      </c>
      <c r="I895" s="21">
        <v>42383.020000000004</v>
      </c>
    </row>
    <row r="896" spans="2:9" x14ac:dyDescent="0.45">
      <c r="B896" s="20" t="s">
        <v>579</v>
      </c>
      <c r="C896" s="20" t="s">
        <v>233</v>
      </c>
      <c r="D896" s="20" t="s">
        <v>234</v>
      </c>
      <c r="E896" s="20" t="s">
        <v>362</v>
      </c>
      <c r="F896" s="20" t="s">
        <v>237</v>
      </c>
      <c r="G896" s="20" t="s">
        <v>218</v>
      </c>
      <c r="H896" s="21">
        <v>-113.64</v>
      </c>
      <c r="I896" s="21">
        <v>42269.380000000005</v>
      </c>
    </row>
    <row r="897" spans="1:9" x14ac:dyDescent="0.45">
      <c r="B897" s="20" t="s">
        <v>579</v>
      </c>
      <c r="C897" s="20" t="s">
        <v>233</v>
      </c>
      <c r="D897" s="20" t="s">
        <v>234</v>
      </c>
      <c r="E897" s="20" t="s">
        <v>362</v>
      </c>
      <c r="F897" s="20" t="s">
        <v>244</v>
      </c>
      <c r="G897" s="20" t="s">
        <v>218</v>
      </c>
      <c r="H897" s="21">
        <v>-485.89</v>
      </c>
      <c r="I897" s="21">
        <v>41783.490000000005</v>
      </c>
    </row>
    <row r="898" spans="1:9" x14ac:dyDescent="0.45">
      <c r="B898" s="20" t="s">
        <v>579</v>
      </c>
      <c r="C898" s="20" t="s">
        <v>233</v>
      </c>
      <c r="D898" s="20" t="s">
        <v>234</v>
      </c>
      <c r="E898" s="20" t="s">
        <v>362</v>
      </c>
      <c r="F898" s="20" t="s">
        <v>377</v>
      </c>
      <c r="G898" s="20" t="s">
        <v>218</v>
      </c>
      <c r="H898" s="21">
        <v>-551</v>
      </c>
      <c r="I898" s="21">
        <v>41232.490000000005</v>
      </c>
    </row>
    <row r="899" spans="1:9" x14ac:dyDescent="0.45">
      <c r="B899" s="20" t="s">
        <v>579</v>
      </c>
      <c r="C899" s="20" t="s">
        <v>233</v>
      </c>
      <c r="D899" s="20" t="s">
        <v>234</v>
      </c>
      <c r="E899" s="20" t="s">
        <v>362</v>
      </c>
      <c r="F899" s="20" t="s">
        <v>263</v>
      </c>
      <c r="G899" s="20" t="s">
        <v>218</v>
      </c>
      <c r="H899" s="21">
        <v>-356.3</v>
      </c>
      <c r="I899" s="21">
        <v>40876.19</v>
      </c>
    </row>
    <row r="900" spans="1:9" x14ac:dyDescent="0.45">
      <c r="B900" s="20" t="s">
        <v>232</v>
      </c>
      <c r="C900" s="20" t="s">
        <v>233</v>
      </c>
      <c r="D900" s="20" t="s">
        <v>234</v>
      </c>
      <c r="E900" s="20" t="s">
        <v>362</v>
      </c>
      <c r="F900" s="20" t="s">
        <v>376</v>
      </c>
      <c r="G900" s="20" t="s">
        <v>218</v>
      </c>
      <c r="H900" s="21">
        <v>6441.6</v>
      </c>
      <c r="I900" s="21">
        <v>47317.79</v>
      </c>
    </row>
    <row r="901" spans="1:9" x14ac:dyDescent="0.45">
      <c r="B901" s="20" t="s">
        <v>232</v>
      </c>
      <c r="C901" s="20" t="s">
        <v>233</v>
      </c>
      <c r="D901" s="20" t="s">
        <v>234</v>
      </c>
      <c r="E901" s="20" t="s">
        <v>362</v>
      </c>
      <c r="F901" s="20" t="s">
        <v>237</v>
      </c>
      <c r="G901" s="20" t="s">
        <v>218</v>
      </c>
      <c r="H901" s="21">
        <v>-119.08</v>
      </c>
      <c r="I901" s="21">
        <v>47198.71</v>
      </c>
    </row>
    <row r="902" spans="1:9" x14ac:dyDescent="0.45">
      <c r="B902" s="20" t="s">
        <v>232</v>
      </c>
      <c r="C902" s="20" t="s">
        <v>233</v>
      </c>
      <c r="D902" s="20" t="s">
        <v>234</v>
      </c>
      <c r="E902" s="20" t="s">
        <v>362</v>
      </c>
      <c r="F902" s="20" t="s">
        <v>244</v>
      </c>
      <c r="G902" s="20" t="s">
        <v>218</v>
      </c>
      <c r="H902" s="21">
        <v>-509.15</v>
      </c>
      <c r="I902" s="21">
        <v>46689.56</v>
      </c>
    </row>
    <row r="903" spans="1:9" x14ac:dyDescent="0.45">
      <c r="B903" s="20" t="s">
        <v>232</v>
      </c>
      <c r="C903" s="20" t="s">
        <v>233</v>
      </c>
      <c r="D903" s="20" t="s">
        <v>234</v>
      </c>
      <c r="E903" s="20" t="s">
        <v>362</v>
      </c>
      <c r="F903" s="20" t="s">
        <v>377</v>
      </c>
      <c r="G903" s="20" t="s">
        <v>218</v>
      </c>
      <c r="H903" s="21">
        <v>-594</v>
      </c>
      <c r="I903" s="21">
        <v>46095.56</v>
      </c>
    </row>
    <row r="904" spans="1:9" x14ac:dyDescent="0.45">
      <c r="B904" s="20" t="s">
        <v>232</v>
      </c>
      <c r="C904" s="20" t="s">
        <v>233</v>
      </c>
      <c r="D904" s="20" t="s">
        <v>234</v>
      </c>
      <c r="E904" s="20" t="s">
        <v>362</v>
      </c>
      <c r="F904" s="20" t="s">
        <v>263</v>
      </c>
      <c r="G904" s="20" t="s">
        <v>218</v>
      </c>
      <c r="H904" s="21">
        <v>-374.76</v>
      </c>
      <c r="I904" s="21">
        <v>45720.799999999996</v>
      </c>
    </row>
    <row r="905" spans="1:9" x14ac:dyDescent="0.45">
      <c r="B905" s="20" t="s">
        <v>232</v>
      </c>
      <c r="C905" s="20" t="s">
        <v>233</v>
      </c>
      <c r="D905" s="20" t="s">
        <v>234</v>
      </c>
      <c r="E905" s="20" t="s">
        <v>245</v>
      </c>
      <c r="F905" s="20" t="s">
        <v>378</v>
      </c>
      <c r="G905" s="20" t="s">
        <v>199</v>
      </c>
      <c r="H905" s="21">
        <v>1750.06</v>
      </c>
      <c r="I905" s="21">
        <v>47470.859999999993</v>
      </c>
    </row>
    <row r="906" spans="1:9" x14ac:dyDescent="0.45">
      <c r="B906" s="20" t="s">
        <v>265</v>
      </c>
      <c r="C906" s="20" t="s">
        <v>233</v>
      </c>
      <c r="D906" s="20" t="s">
        <v>234</v>
      </c>
      <c r="E906" s="20" t="s">
        <v>266</v>
      </c>
      <c r="F906" s="20" t="s">
        <v>379</v>
      </c>
      <c r="G906" s="20" t="s">
        <v>218</v>
      </c>
      <c r="H906" s="21">
        <v>356.3</v>
      </c>
      <c r="I906" s="21">
        <v>47827.159999999996</v>
      </c>
    </row>
    <row r="907" spans="1:9" x14ac:dyDescent="0.45">
      <c r="B907" s="20" t="s">
        <v>213</v>
      </c>
      <c r="C907" s="20" t="s">
        <v>233</v>
      </c>
      <c r="D907" s="20" t="s">
        <v>234</v>
      </c>
      <c r="E907" s="20" t="s">
        <v>245</v>
      </c>
      <c r="F907" s="20" t="s">
        <v>378</v>
      </c>
      <c r="G907" s="20" t="s">
        <v>199</v>
      </c>
      <c r="H907" s="21">
        <v>1850.46</v>
      </c>
      <c r="I907" s="21">
        <v>49677.619999999995</v>
      </c>
    </row>
    <row r="908" spans="1:9" x14ac:dyDescent="0.45">
      <c r="B908" s="20" t="s">
        <v>213</v>
      </c>
      <c r="C908" s="20" t="s">
        <v>233</v>
      </c>
      <c r="D908" s="20" t="s">
        <v>234</v>
      </c>
      <c r="E908" s="20" t="s">
        <v>266</v>
      </c>
      <c r="F908" s="20" t="s">
        <v>379</v>
      </c>
      <c r="G908" s="20" t="s">
        <v>218</v>
      </c>
      <c r="H908" s="21">
        <v>374.75</v>
      </c>
      <c r="I908" s="21">
        <v>50052.369999999995</v>
      </c>
    </row>
    <row r="909" spans="1:9" x14ac:dyDescent="0.45">
      <c r="A909" s="27" t="s">
        <v>380</v>
      </c>
      <c r="H909" s="22">
        <f>H858+H859+H860+H861+H862+H863+H864+H865+H866+H867+H868+H869+H870+H871+H872+H873+H874+H875+H876+H877+H878+H879+H880+H881+H882+H883+H884+H885+H886+H887+H888+H889+H890+H891+H892+H893+H894+H895+H896+H897+H898+H899+H900+H901+H902+H903+H904+H905+H906+H907+H908</f>
        <v>50052.369999999995</v>
      </c>
    </row>
    <row r="910" spans="1:9" x14ac:dyDescent="0.45">
      <c r="A910" s="7" t="s">
        <v>130</v>
      </c>
    </row>
    <row r="911" spans="1:9" x14ac:dyDescent="0.45">
      <c r="B911" s="20" t="s">
        <v>465</v>
      </c>
      <c r="C911" s="20" t="s">
        <v>233</v>
      </c>
      <c r="D911" s="20" t="s">
        <v>861</v>
      </c>
      <c r="E911" s="20" t="s">
        <v>362</v>
      </c>
      <c r="F911" s="20" t="s">
        <v>875</v>
      </c>
      <c r="G911" s="20" t="s">
        <v>218</v>
      </c>
      <c r="H911" s="21">
        <v>2937.15</v>
      </c>
      <c r="I911" s="21">
        <v>2937.15</v>
      </c>
    </row>
    <row r="912" spans="1:9" x14ac:dyDescent="0.45">
      <c r="B912" s="20" t="s">
        <v>574</v>
      </c>
      <c r="C912" s="20" t="s">
        <v>233</v>
      </c>
      <c r="D912" s="20" t="s">
        <v>295</v>
      </c>
      <c r="E912" s="20" t="s">
        <v>362</v>
      </c>
      <c r="F912" s="20" t="s">
        <v>876</v>
      </c>
      <c r="G912" s="20" t="s">
        <v>218</v>
      </c>
      <c r="H912" s="21">
        <v>1441.13</v>
      </c>
      <c r="I912" s="21">
        <v>4378.2800000000007</v>
      </c>
    </row>
    <row r="913" spans="1:9" x14ac:dyDescent="0.45">
      <c r="B913" s="20" t="s">
        <v>566</v>
      </c>
      <c r="C913" s="20" t="s">
        <v>233</v>
      </c>
      <c r="D913" s="20" t="s">
        <v>284</v>
      </c>
      <c r="E913" s="20" t="s">
        <v>362</v>
      </c>
      <c r="F913" s="20" t="s">
        <v>877</v>
      </c>
      <c r="G913" s="20" t="s">
        <v>218</v>
      </c>
      <c r="H913" s="21">
        <v>1592.1</v>
      </c>
      <c r="I913" s="21">
        <v>5970.380000000001</v>
      </c>
    </row>
    <row r="914" spans="1:9" x14ac:dyDescent="0.45">
      <c r="B914" s="20" t="s">
        <v>577</v>
      </c>
      <c r="C914" s="20" t="s">
        <v>233</v>
      </c>
      <c r="D914" s="20" t="s">
        <v>295</v>
      </c>
      <c r="E914" s="20" t="s">
        <v>362</v>
      </c>
      <c r="F914" s="20" t="s">
        <v>878</v>
      </c>
      <c r="G914" s="20" t="s">
        <v>218</v>
      </c>
      <c r="H914" s="21">
        <v>1852.88</v>
      </c>
      <c r="I914" s="21">
        <v>7823.2600000000011</v>
      </c>
    </row>
    <row r="915" spans="1:9" x14ac:dyDescent="0.45">
      <c r="B915" s="20" t="s">
        <v>579</v>
      </c>
      <c r="C915" s="20" t="s">
        <v>233</v>
      </c>
      <c r="D915" s="20" t="s">
        <v>234</v>
      </c>
      <c r="E915" s="20" t="s">
        <v>362</v>
      </c>
      <c r="F915" s="20" t="s">
        <v>879</v>
      </c>
      <c r="G915" s="20" t="s">
        <v>218</v>
      </c>
      <c r="H915" s="21">
        <v>1688.18</v>
      </c>
      <c r="I915" s="21">
        <v>9511.44</v>
      </c>
    </row>
    <row r="916" spans="1:9" x14ac:dyDescent="0.45">
      <c r="B916" s="20" t="s">
        <v>579</v>
      </c>
      <c r="C916" s="20" t="s">
        <v>233</v>
      </c>
      <c r="D916" s="20" t="s">
        <v>234</v>
      </c>
      <c r="E916" s="20" t="s">
        <v>369</v>
      </c>
      <c r="F916" s="20" t="s">
        <v>880</v>
      </c>
      <c r="G916" s="20" t="s">
        <v>218</v>
      </c>
      <c r="H916" s="21">
        <v>68.28</v>
      </c>
      <c r="I916" s="21">
        <v>9579.7200000000012</v>
      </c>
    </row>
    <row r="917" spans="1:9" x14ac:dyDescent="0.45">
      <c r="B917" s="20" t="s">
        <v>232</v>
      </c>
      <c r="C917" s="20" t="s">
        <v>233</v>
      </c>
      <c r="D917" s="20" t="s">
        <v>234</v>
      </c>
      <c r="E917" s="20" t="s">
        <v>362</v>
      </c>
      <c r="F917" s="20" t="s">
        <v>381</v>
      </c>
      <c r="G917" s="20" t="s">
        <v>218</v>
      </c>
      <c r="H917" s="21">
        <v>1770.53</v>
      </c>
      <c r="I917" s="21">
        <v>11350.250000000002</v>
      </c>
    </row>
    <row r="918" spans="1:9" x14ac:dyDescent="0.45">
      <c r="A918" s="27" t="s">
        <v>382</v>
      </c>
      <c r="H918" s="22">
        <f>H911+H912+H913+H914+H915+H916+H917</f>
        <v>11350.250000000002</v>
      </c>
    </row>
    <row r="919" spans="1:9" x14ac:dyDescent="0.45">
      <c r="A919" s="7" t="s">
        <v>131</v>
      </c>
    </row>
    <row r="920" spans="1:9" x14ac:dyDescent="0.45">
      <c r="B920" s="20" t="s">
        <v>555</v>
      </c>
      <c r="C920" s="20" t="s">
        <v>233</v>
      </c>
      <c r="D920" s="20" t="s">
        <v>284</v>
      </c>
      <c r="E920" s="20" t="s">
        <v>362</v>
      </c>
      <c r="F920" s="20" t="s">
        <v>881</v>
      </c>
      <c r="G920" s="20" t="s">
        <v>218</v>
      </c>
      <c r="H920" s="21">
        <v>-719.19</v>
      </c>
      <c r="I920" s="21">
        <v>-719.19</v>
      </c>
    </row>
    <row r="921" spans="1:9" x14ac:dyDescent="0.45">
      <c r="B921" s="20" t="s">
        <v>435</v>
      </c>
      <c r="C921" s="20" t="s">
        <v>233</v>
      </c>
      <c r="D921" s="20" t="s">
        <v>234</v>
      </c>
      <c r="E921" s="20" t="s">
        <v>600</v>
      </c>
      <c r="F921" s="20" t="s">
        <v>882</v>
      </c>
      <c r="G921" s="20" t="s">
        <v>199</v>
      </c>
      <c r="H921" s="21">
        <v>1438.37</v>
      </c>
      <c r="I921" s="21">
        <v>719.17999999999984</v>
      </c>
    </row>
    <row r="922" spans="1:9" x14ac:dyDescent="0.45">
      <c r="B922" s="20" t="s">
        <v>465</v>
      </c>
      <c r="C922" s="20" t="s">
        <v>233</v>
      </c>
      <c r="D922" s="20" t="s">
        <v>861</v>
      </c>
      <c r="E922" s="20" t="s">
        <v>362</v>
      </c>
      <c r="F922" s="20" t="s">
        <v>268</v>
      </c>
      <c r="G922" s="20" t="s">
        <v>218</v>
      </c>
      <c r="H922" s="21">
        <v>-750.37</v>
      </c>
      <c r="I922" s="21">
        <v>-31.190000000000168</v>
      </c>
    </row>
    <row r="923" spans="1:9" x14ac:dyDescent="0.45">
      <c r="B923" s="20" t="s">
        <v>564</v>
      </c>
      <c r="C923" s="20" t="s">
        <v>233</v>
      </c>
      <c r="D923" s="20" t="s">
        <v>234</v>
      </c>
      <c r="E923" s="20" t="s">
        <v>600</v>
      </c>
      <c r="F923" s="20" t="s">
        <v>882</v>
      </c>
      <c r="G923" s="20" t="s">
        <v>199</v>
      </c>
      <c r="H923" s="21">
        <v>1500.75</v>
      </c>
      <c r="I923" s="21">
        <v>1469.56</v>
      </c>
    </row>
    <row r="924" spans="1:9" x14ac:dyDescent="0.45">
      <c r="B924" s="20" t="s">
        <v>574</v>
      </c>
      <c r="C924" s="20" t="s">
        <v>233</v>
      </c>
      <c r="D924" s="20" t="s">
        <v>295</v>
      </c>
      <c r="E924" s="20" t="s">
        <v>362</v>
      </c>
      <c r="F924" s="20" t="s">
        <v>268</v>
      </c>
      <c r="G924" s="20" t="s">
        <v>218</v>
      </c>
      <c r="H924" s="21">
        <v>-525.39</v>
      </c>
      <c r="I924" s="21">
        <v>944.17</v>
      </c>
    </row>
    <row r="925" spans="1:9" x14ac:dyDescent="0.45">
      <c r="B925" s="20" t="s">
        <v>566</v>
      </c>
      <c r="C925" s="20" t="s">
        <v>233</v>
      </c>
      <c r="D925" s="20" t="s">
        <v>284</v>
      </c>
      <c r="E925" s="20" t="s">
        <v>362</v>
      </c>
      <c r="F925" s="20" t="s">
        <v>268</v>
      </c>
      <c r="G925" s="20" t="s">
        <v>218</v>
      </c>
      <c r="H925" s="21">
        <v>-578.42999999999995</v>
      </c>
      <c r="I925" s="21">
        <v>365.74</v>
      </c>
    </row>
    <row r="926" spans="1:9" x14ac:dyDescent="0.45">
      <c r="B926" s="20" t="s">
        <v>570</v>
      </c>
      <c r="C926" s="20" t="s">
        <v>233</v>
      </c>
      <c r="D926" s="20" t="s">
        <v>234</v>
      </c>
      <c r="E926" s="20" t="s">
        <v>602</v>
      </c>
      <c r="F926" s="20" t="s">
        <v>883</v>
      </c>
      <c r="G926" s="20" t="s">
        <v>199</v>
      </c>
      <c r="H926" s="21">
        <v>1050.79</v>
      </c>
      <c r="I926" s="21">
        <v>1416.53</v>
      </c>
    </row>
    <row r="927" spans="1:9" x14ac:dyDescent="0.45">
      <c r="B927" s="20" t="s">
        <v>577</v>
      </c>
      <c r="C927" s="20" t="s">
        <v>233</v>
      </c>
      <c r="D927" s="20" t="s">
        <v>295</v>
      </c>
      <c r="E927" s="20" t="s">
        <v>362</v>
      </c>
      <c r="F927" s="20" t="s">
        <v>268</v>
      </c>
      <c r="G927" s="20" t="s">
        <v>218</v>
      </c>
      <c r="H927" s="21">
        <v>-597.20000000000005</v>
      </c>
      <c r="I927" s="21">
        <v>819.32999999999993</v>
      </c>
    </row>
    <row r="928" spans="1:9" x14ac:dyDescent="0.45">
      <c r="B928" s="20" t="s">
        <v>571</v>
      </c>
      <c r="C928" s="20" t="s">
        <v>233</v>
      </c>
      <c r="D928" s="20" t="s">
        <v>234</v>
      </c>
      <c r="E928" s="20" t="s">
        <v>602</v>
      </c>
      <c r="F928" s="20" t="s">
        <v>883</v>
      </c>
      <c r="G928" s="20" t="s">
        <v>199</v>
      </c>
      <c r="H928" s="21">
        <v>1194.4000000000001</v>
      </c>
      <c r="I928" s="21">
        <v>2013.73</v>
      </c>
    </row>
    <row r="929" spans="1:9" x14ac:dyDescent="0.45">
      <c r="B929" s="20" t="s">
        <v>604</v>
      </c>
      <c r="C929" s="20" t="s">
        <v>233</v>
      </c>
      <c r="D929" s="20" t="s">
        <v>284</v>
      </c>
      <c r="E929" s="20" t="s">
        <v>602</v>
      </c>
      <c r="F929" s="20" t="s">
        <v>883</v>
      </c>
      <c r="G929" s="20" t="s">
        <v>199</v>
      </c>
      <c r="H929" s="21">
        <v>1156.8499999999999</v>
      </c>
      <c r="I929" s="21">
        <v>3170.58</v>
      </c>
    </row>
    <row r="930" spans="1:9" x14ac:dyDescent="0.45">
      <c r="B930" s="20" t="s">
        <v>579</v>
      </c>
      <c r="C930" s="20" t="s">
        <v>233</v>
      </c>
      <c r="D930" s="20" t="s">
        <v>234</v>
      </c>
      <c r="E930" s="20" t="s">
        <v>362</v>
      </c>
      <c r="F930" s="20" t="s">
        <v>268</v>
      </c>
      <c r="G930" s="20" t="s">
        <v>218</v>
      </c>
      <c r="H930" s="21">
        <v>-564.26</v>
      </c>
      <c r="I930" s="21">
        <v>2606.3199999999997</v>
      </c>
    </row>
    <row r="931" spans="1:9" x14ac:dyDescent="0.45">
      <c r="B931" s="20" t="s">
        <v>494</v>
      </c>
      <c r="C931" s="20" t="s">
        <v>233</v>
      </c>
      <c r="D931" s="20" t="s">
        <v>234</v>
      </c>
      <c r="E931" s="20" t="s">
        <v>602</v>
      </c>
      <c r="F931" s="20" t="s">
        <v>883</v>
      </c>
      <c r="G931" s="20" t="s">
        <v>199</v>
      </c>
      <c r="H931" s="21">
        <v>1128.52</v>
      </c>
      <c r="I931" s="21">
        <v>3734.8399999999997</v>
      </c>
    </row>
    <row r="932" spans="1:9" x14ac:dyDescent="0.45">
      <c r="B932" s="20" t="s">
        <v>232</v>
      </c>
      <c r="C932" s="20" t="s">
        <v>233</v>
      </c>
      <c r="D932" s="20" t="s">
        <v>234</v>
      </c>
      <c r="E932" s="20" t="s">
        <v>362</v>
      </c>
      <c r="F932" s="20" t="s">
        <v>268</v>
      </c>
      <c r="G932" s="20" t="s">
        <v>218</v>
      </c>
      <c r="H932" s="21">
        <v>-591.27</v>
      </c>
      <c r="I932" s="21">
        <v>3143.5699999999997</v>
      </c>
    </row>
    <row r="933" spans="1:9" x14ac:dyDescent="0.45">
      <c r="A933" s="27" t="s">
        <v>383</v>
      </c>
      <c r="H933" s="22">
        <f>H920+H921+H922+H923+H924+H925+H926+H927+H928+H929+H930+H931+H932</f>
        <v>3143.5699999999997</v>
      </c>
    </row>
    <row r="934" spans="1:9" x14ac:dyDescent="0.45">
      <c r="A934" s="17" t="s">
        <v>384</v>
      </c>
      <c r="H934" s="22">
        <f>H829+H856+H909+H918+H933</f>
        <v>81095.53</v>
      </c>
    </row>
    <row r="935" spans="1:9" x14ac:dyDescent="0.45">
      <c r="A935" s="7" t="s">
        <v>133</v>
      </c>
    </row>
    <row r="936" spans="1:9" x14ac:dyDescent="0.45">
      <c r="B936" s="20" t="s">
        <v>435</v>
      </c>
      <c r="C936" s="20" t="s">
        <v>233</v>
      </c>
      <c r="D936" s="20" t="s">
        <v>884</v>
      </c>
      <c r="E936" s="20" t="s">
        <v>885</v>
      </c>
      <c r="F936" s="20" t="s">
        <v>886</v>
      </c>
      <c r="G936" s="20" t="s">
        <v>218</v>
      </c>
      <c r="H936" s="21">
        <v>245.96</v>
      </c>
      <c r="I936" s="21">
        <v>245.96</v>
      </c>
    </row>
    <row r="937" spans="1:9" x14ac:dyDescent="0.45">
      <c r="B937" s="20" t="s">
        <v>435</v>
      </c>
      <c r="C937" s="20" t="s">
        <v>233</v>
      </c>
      <c r="D937" s="20" t="s">
        <v>751</v>
      </c>
      <c r="E937" s="20" t="s">
        <v>339</v>
      </c>
      <c r="F937" s="20" t="s">
        <v>385</v>
      </c>
      <c r="G937" s="20" t="s">
        <v>218</v>
      </c>
      <c r="H937" s="21">
        <v>226.23</v>
      </c>
      <c r="I937" s="21">
        <v>472.19</v>
      </c>
    </row>
    <row r="938" spans="1:9" x14ac:dyDescent="0.45">
      <c r="B938" s="20" t="s">
        <v>435</v>
      </c>
      <c r="C938" s="20" t="s">
        <v>233</v>
      </c>
      <c r="D938" s="20" t="s">
        <v>887</v>
      </c>
      <c r="E938" s="20" t="s">
        <v>387</v>
      </c>
      <c r="F938" s="20" t="s">
        <v>175</v>
      </c>
      <c r="G938" s="20" t="s">
        <v>218</v>
      </c>
      <c r="H938" s="21">
        <v>115.54</v>
      </c>
      <c r="I938" s="21">
        <v>587.73</v>
      </c>
    </row>
    <row r="939" spans="1:9" x14ac:dyDescent="0.45">
      <c r="B939" s="20" t="s">
        <v>435</v>
      </c>
      <c r="C939" s="20" t="s">
        <v>233</v>
      </c>
      <c r="D939" s="20" t="s">
        <v>752</v>
      </c>
      <c r="E939" s="20" t="s">
        <v>342</v>
      </c>
      <c r="F939" s="20" t="s">
        <v>175</v>
      </c>
      <c r="G939" s="20" t="s">
        <v>218</v>
      </c>
      <c r="H939" s="21">
        <v>26.99</v>
      </c>
      <c r="I939" s="21">
        <v>614.72</v>
      </c>
    </row>
    <row r="940" spans="1:9" x14ac:dyDescent="0.45">
      <c r="B940" s="20" t="s">
        <v>464</v>
      </c>
      <c r="C940" s="20" t="s">
        <v>233</v>
      </c>
      <c r="D940" s="20" t="s">
        <v>234</v>
      </c>
      <c r="E940" s="20" t="s">
        <v>214</v>
      </c>
      <c r="F940" s="20" t="s">
        <v>888</v>
      </c>
      <c r="G940" s="20" t="s">
        <v>218</v>
      </c>
      <c r="H940" s="23">
        <v>0</v>
      </c>
      <c r="I940" s="21">
        <v>614.72</v>
      </c>
    </row>
    <row r="941" spans="1:9" x14ac:dyDescent="0.45">
      <c r="B941" s="20" t="s">
        <v>439</v>
      </c>
      <c r="C941" s="20" t="s">
        <v>233</v>
      </c>
      <c r="D941" s="20" t="s">
        <v>756</v>
      </c>
      <c r="E941" s="20" t="s">
        <v>339</v>
      </c>
      <c r="F941" s="20" t="s">
        <v>385</v>
      </c>
      <c r="G941" s="20" t="s">
        <v>218</v>
      </c>
      <c r="H941" s="20"/>
      <c r="I941" s="21">
        <v>614.72</v>
      </c>
    </row>
    <row r="942" spans="1:9" x14ac:dyDescent="0.45">
      <c r="B942" s="20" t="s">
        <v>439</v>
      </c>
      <c r="C942" s="20" t="s">
        <v>233</v>
      </c>
      <c r="D942" s="20" t="s">
        <v>889</v>
      </c>
      <c r="E942" s="20" t="s">
        <v>890</v>
      </c>
      <c r="F942" s="20" t="s">
        <v>891</v>
      </c>
      <c r="G942" s="20" t="s">
        <v>218</v>
      </c>
      <c r="H942" s="21">
        <v>42</v>
      </c>
      <c r="I942" s="21">
        <v>656.72</v>
      </c>
    </row>
    <row r="943" spans="1:9" x14ac:dyDescent="0.45">
      <c r="B943" s="20" t="s">
        <v>439</v>
      </c>
      <c r="C943" s="20" t="s">
        <v>233</v>
      </c>
      <c r="D943" s="20" t="s">
        <v>757</v>
      </c>
      <c r="E943" s="20" t="s">
        <v>342</v>
      </c>
      <c r="F943" s="20" t="s">
        <v>175</v>
      </c>
      <c r="G943" s="20" t="s">
        <v>218</v>
      </c>
      <c r="H943" s="23">
        <v>0</v>
      </c>
      <c r="I943" s="21">
        <v>656.72</v>
      </c>
    </row>
    <row r="944" spans="1:9" x14ac:dyDescent="0.45">
      <c r="B944" s="20" t="s">
        <v>439</v>
      </c>
      <c r="C944" s="20" t="s">
        <v>233</v>
      </c>
      <c r="D944" s="20" t="s">
        <v>892</v>
      </c>
      <c r="E944" s="20" t="s">
        <v>893</v>
      </c>
      <c r="F944" s="20" t="s">
        <v>894</v>
      </c>
      <c r="G944" s="20" t="s">
        <v>218</v>
      </c>
      <c r="H944" s="21">
        <v>108.68</v>
      </c>
      <c r="I944" s="21">
        <v>765.40000000000009</v>
      </c>
    </row>
    <row r="945" spans="2:9" x14ac:dyDescent="0.45">
      <c r="B945" s="20" t="s">
        <v>439</v>
      </c>
      <c r="C945" s="20" t="s">
        <v>233</v>
      </c>
      <c r="D945" s="20" t="s">
        <v>895</v>
      </c>
      <c r="E945" s="20" t="s">
        <v>896</v>
      </c>
      <c r="F945" s="20" t="s">
        <v>897</v>
      </c>
      <c r="G945" s="20" t="s">
        <v>218</v>
      </c>
      <c r="H945" s="21">
        <v>4190</v>
      </c>
      <c r="I945" s="21">
        <v>4955.3999999999996</v>
      </c>
    </row>
    <row r="946" spans="2:9" x14ac:dyDescent="0.45">
      <c r="B946" s="20" t="s">
        <v>439</v>
      </c>
      <c r="C946" s="20" t="s">
        <v>233</v>
      </c>
      <c r="D946" s="20" t="s">
        <v>898</v>
      </c>
      <c r="E946" s="20" t="s">
        <v>899</v>
      </c>
      <c r="F946" s="20" t="s">
        <v>900</v>
      </c>
      <c r="G946" s="20" t="s">
        <v>218</v>
      </c>
      <c r="H946" s="21">
        <v>2439.71</v>
      </c>
      <c r="I946" s="21">
        <v>7395.11</v>
      </c>
    </row>
    <row r="947" spans="2:9" x14ac:dyDescent="0.45">
      <c r="B947" s="20" t="s">
        <v>439</v>
      </c>
      <c r="C947" s="20" t="s">
        <v>233</v>
      </c>
      <c r="D947" s="20" t="s">
        <v>901</v>
      </c>
      <c r="E947" s="20" t="s">
        <v>902</v>
      </c>
      <c r="F947" s="20" t="s">
        <v>903</v>
      </c>
      <c r="G947" s="20" t="s">
        <v>218</v>
      </c>
      <c r="H947" s="21">
        <v>1037.28</v>
      </c>
      <c r="I947" s="21">
        <v>8432.39</v>
      </c>
    </row>
    <row r="948" spans="2:9" x14ac:dyDescent="0.45">
      <c r="B948" s="20" t="s">
        <v>439</v>
      </c>
      <c r="C948" s="20" t="s">
        <v>233</v>
      </c>
      <c r="D948" s="20" t="s">
        <v>904</v>
      </c>
      <c r="E948" s="20" t="s">
        <v>885</v>
      </c>
      <c r="F948" s="20" t="s">
        <v>886</v>
      </c>
      <c r="G948" s="20" t="s">
        <v>218</v>
      </c>
      <c r="H948" s="21">
        <v>30.97</v>
      </c>
      <c r="I948" s="21">
        <v>8463.3599999999988</v>
      </c>
    </row>
    <row r="949" spans="2:9" x14ac:dyDescent="0.45">
      <c r="B949" s="20" t="s">
        <v>585</v>
      </c>
      <c r="C949" s="20" t="s">
        <v>233</v>
      </c>
      <c r="D949" s="20" t="s">
        <v>759</v>
      </c>
      <c r="E949" s="20" t="s">
        <v>339</v>
      </c>
      <c r="F949" s="20" t="s">
        <v>385</v>
      </c>
      <c r="G949" s="20" t="s">
        <v>218</v>
      </c>
      <c r="H949" s="20"/>
      <c r="I949" s="21">
        <v>8463.3599999999988</v>
      </c>
    </row>
    <row r="950" spans="2:9" x14ac:dyDescent="0.45">
      <c r="B950" s="20" t="s">
        <v>585</v>
      </c>
      <c r="C950" s="20" t="s">
        <v>233</v>
      </c>
      <c r="D950" s="20" t="s">
        <v>760</v>
      </c>
      <c r="E950" s="20" t="s">
        <v>342</v>
      </c>
      <c r="F950" s="20" t="s">
        <v>175</v>
      </c>
      <c r="G950" s="20" t="s">
        <v>218</v>
      </c>
      <c r="H950" s="21">
        <v>23.91</v>
      </c>
      <c r="I950" s="21">
        <v>8487.2699999999986</v>
      </c>
    </row>
    <row r="951" spans="2:9" x14ac:dyDescent="0.45">
      <c r="B951" s="20" t="s">
        <v>540</v>
      </c>
      <c r="C951" s="20" t="s">
        <v>233</v>
      </c>
      <c r="D951" s="20" t="s">
        <v>905</v>
      </c>
      <c r="E951" s="20" t="s">
        <v>906</v>
      </c>
      <c r="F951" s="20" t="s">
        <v>907</v>
      </c>
      <c r="G951" s="20" t="s">
        <v>218</v>
      </c>
      <c r="H951" s="21">
        <v>273.95</v>
      </c>
      <c r="I951" s="21">
        <v>8761.2199999999993</v>
      </c>
    </row>
    <row r="952" spans="2:9" x14ac:dyDescent="0.45">
      <c r="B952" s="20" t="s">
        <v>540</v>
      </c>
      <c r="C952" s="20" t="s">
        <v>233</v>
      </c>
      <c r="D952" s="20" t="s">
        <v>908</v>
      </c>
      <c r="E952" s="20" t="s">
        <v>899</v>
      </c>
      <c r="F952" s="20" t="s">
        <v>909</v>
      </c>
      <c r="G952" s="20" t="s">
        <v>218</v>
      </c>
      <c r="H952" s="21">
        <v>1378.72</v>
      </c>
      <c r="I952" s="21">
        <v>10139.939999999999</v>
      </c>
    </row>
    <row r="953" spans="2:9" x14ac:dyDescent="0.45">
      <c r="B953" s="20" t="s">
        <v>588</v>
      </c>
      <c r="C953" s="20" t="s">
        <v>233</v>
      </c>
      <c r="D953" s="20" t="s">
        <v>910</v>
      </c>
      <c r="E953" s="20" t="s">
        <v>890</v>
      </c>
      <c r="F953" s="20" t="s">
        <v>911</v>
      </c>
      <c r="G953" s="20" t="s">
        <v>218</v>
      </c>
      <c r="H953" s="21">
        <v>4.3</v>
      </c>
      <c r="I953" s="21">
        <v>10144.239999999998</v>
      </c>
    </row>
    <row r="954" spans="2:9" x14ac:dyDescent="0.45">
      <c r="B954" s="20" t="s">
        <v>588</v>
      </c>
      <c r="C954" s="20" t="s">
        <v>233</v>
      </c>
      <c r="D954" s="20" t="s">
        <v>912</v>
      </c>
      <c r="E954" s="20" t="s">
        <v>387</v>
      </c>
      <c r="F954" s="20" t="s">
        <v>175</v>
      </c>
      <c r="G954" s="20" t="s">
        <v>218</v>
      </c>
      <c r="H954" s="20"/>
      <c r="I954" s="21">
        <v>10144.239999999998</v>
      </c>
    </row>
    <row r="955" spans="2:9" x14ac:dyDescent="0.45">
      <c r="B955" s="20" t="s">
        <v>588</v>
      </c>
      <c r="C955" s="20" t="s">
        <v>233</v>
      </c>
      <c r="D955" s="20" t="s">
        <v>761</v>
      </c>
      <c r="E955" s="20" t="s">
        <v>342</v>
      </c>
      <c r="F955" s="20" t="s">
        <v>175</v>
      </c>
      <c r="G955" s="20" t="s">
        <v>218</v>
      </c>
      <c r="H955" s="21">
        <v>27</v>
      </c>
      <c r="I955" s="21">
        <v>10171.239999999998</v>
      </c>
    </row>
    <row r="956" spans="2:9" x14ac:dyDescent="0.45">
      <c r="B956" s="20" t="s">
        <v>484</v>
      </c>
      <c r="C956" s="20" t="s">
        <v>233</v>
      </c>
      <c r="D956" s="20" t="s">
        <v>762</v>
      </c>
      <c r="E956" s="20" t="s">
        <v>339</v>
      </c>
      <c r="F956" s="20" t="s">
        <v>385</v>
      </c>
      <c r="G956" s="20" t="s">
        <v>218</v>
      </c>
      <c r="H956" s="20"/>
      <c r="I956" s="21">
        <v>10171.239999999998</v>
      </c>
    </row>
    <row r="957" spans="2:9" x14ac:dyDescent="0.45">
      <c r="B957" s="20" t="s">
        <v>484</v>
      </c>
      <c r="C957" s="20" t="s">
        <v>233</v>
      </c>
      <c r="D957" s="20" t="s">
        <v>913</v>
      </c>
      <c r="E957" s="20" t="s">
        <v>890</v>
      </c>
      <c r="F957" s="20" t="s">
        <v>914</v>
      </c>
      <c r="G957" s="20" t="s">
        <v>218</v>
      </c>
      <c r="H957" s="21">
        <v>108.61</v>
      </c>
      <c r="I957" s="21">
        <v>10279.849999999999</v>
      </c>
    </row>
    <row r="958" spans="2:9" x14ac:dyDescent="0.45">
      <c r="B958" s="20" t="s">
        <v>484</v>
      </c>
      <c r="C958" s="20" t="s">
        <v>233</v>
      </c>
      <c r="D958" s="20" t="s">
        <v>763</v>
      </c>
      <c r="E958" s="20" t="s">
        <v>342</v>
      </c>
      <c r="F958" s="20" t="s">
        <v>388</v>
      </c>
      <c r="G958" s="20" t="s">
        <v>218</v>
      </c>
      <c r="H958" s="20"/>
      <c r="I958" s="21">
        <v>10279.849999999999</v>
      </c>
    </row>
    <row r="959" spans="2:9" x14ac:dyDescent="0.45">
      <c r="B959" s="20" t="s">
        <v>247</v>
      </c>
      <c r="C959" s="20" t="s">
        <v>233</v>
      </c>
      <c r="D959" s="20" t="s">
        <v>338</v>
      </c>
      <c r="E959" s="20" t="s">
        <v>339</v>
      </c>
      <c r="F959" s="20" t="s">
        <v>385</v>
      </c>
      <c r="G959" s="20" t="s">
        <v>218</v>
      </c>
      <c r="H959" s="20"/>
      <c r="I959" s="21">
        <v>10279.849999999999</v>
      </c>
    </row>
    <row r="960" spans="2:9" x14ac:dyDescent="0.45">
      <c r="B960" s="20" t="s">
        <v>247</v>
      </c>
      <c r="C960" s="20" t="s">
        <v>233</v>
      </c>
      <c r="D960" s="20" t="s">
        <v>386</v>
      </c>
      <c r="E960" s="20" t="s">
        <v>387</v>
      </c>
      <c r="F960" s="20" t="s">
        <v>175</v>
      </c>
      <c r="G960" s="20" t="s">
        <v>218</v>
      </c>
      <c r="H960" s="20"/>
      <c r="I960" s="21">
        <v>10279.849999999999</v>
      </c>
    </row>
    <row r="961" spans="1:9" x14ac:dyDescent="0.45">
      <c r="B961" s="20" t="s">
        <v>247</v>
      </c>
      <c r="C961" s="20" t="s">
        <v>233</v>
      </c>
      <c r="D961" s="20" t="s">
        <v>341</v>
      </c>
      <c r="E961" s="20" t="s">
        <v>342</v>
      </c>
      <c r="F961" s="20" t="s">
        <v>388</v>
      </c>
      <c r="G961" s="20" t="s">
        <v>218</v>
      </c>
      <c r="H961" s="20"/>
      <c r="I961" s="21">
        <v>10279.849999999999</v>
      </c>
    </row>
    <row r="962" spans="1:9" x14ac:dyDescent="0.45">
      <c r="A962" s="17" t="s">
        <v>136</v>
      </c>
      <c r="H962" s="22">
        <f>H936+H937+H938+H939+H940+H941+H942+H943+H944+H945+H946+H947+H948+H949+H950+H951+H952+H953+H954+H955+H956+H957+H958+H959+H960+H961</f>
        <v>10279.849999999999</v>
      </c>
    </row>
    <row r="963" spans="1:9" x14ac:dyDescent="0.45">
      <c r="A963" s="7" t="s">
        <v>134</v>
      </c>
    </row>
    <row r="964" spans="1:9" x14ac:dyDescent="0.45">
      <c r="B964" s="20" t="s">
        <v>588</v>
      </c>
      <c r="C964" s="20" t="s">
        <v>233</v>
      </c>
      <c r="D964" s="20" t="s">
        <v>915</v>
      </c>
      <c r="E964" s="20" t="s">
        <v>916</v>
      </c>
      <c r="F964" s="20" t="s">
        <v>917</v>
      </c>
      <c r="G964" s="20" t="s">
        <v>218</v>
      </c>
      <c r="H964" s="21">
        <v>1128.6400000000001</v>
      </c>
      <c r="I964" s="21">
        <v>1128.6400000000001</v>
      </c>
    </row>
    <row r="965" spans="1:9" x14ac:dyDescent="0.45">
      <c r="B965" s="20" t="s">
        <v>484</v>
      </c>
      <c r="C965" s="20" t="s">
        <v>233</v>
      </c>
      <c r="D965" s="20" t="s">
        <v>918</v>
      </c>
      <c r="E965" s="20" t="s">
        <v>916</v>
      </c>
      <c r="F965" s="20" t="s">
        <v>919</v>
      </c>
      <c r="G965" s="20" t="s">
        <v>218</v>
      </c>
      <c r="H965" s="21">
        <v>47.64</v>
      </c>
      <c r="I965" s="21">
        <v>1176.2800000000002</v>
      </c>
    </row>
    <row r="966" spans="1:9" x14ac:dyDescent="0.45">
      <c r="A966" s="27" t="s">
        <v>920</v>
      </c>
      <c r="H966" s="22">
        <f>H964+H965</f>
        <v>1176.2800000000002</v>
      </c>
    </row>
    <row r="967" spans="1:9" x14ac:dyDescent="0.45">
      <c r="A967" s="7" t="s">
        <v>135</v>
      </c>
    </row>
    <row r="968" spans="1:9" x14ac:dyDescent="0.45">
      <c r="B968" s="20" t="s">
        <v>247</v>
      </c>
      <c r="C968" s="20" t="s">
        <v>233</v>
      </c>
      <c r="D968" s="20" t="s">
        <v>389</v>
      </c>
      <c r="E968" s="20" t="s">
        <v>390</v>
      </c>
      <c r="F968" s="20" t="s">
        <v>391</v>
      </c>
      <c r="G968" s="20" t="s">
        <v>218</v>
      </c>
      <c r="H968" s="21">
        <v>5320.01</v>
      </c>
      <c r="I968" s="21">
        <v>5320.01</v>
      </c>
    </row>
    <row r="969" spans="1:9" x14ac:dyDescent="0.45">
      <c r="A969" s="27" t="s">
        <v>392</v>
      </c>
      <c r="H969" s="22">
        <f>H968</f>
        <v>5320.01</v>
      </c>
    </row>
    <row r="970" spans="1:9" x14ac:dyDescent="0.45">
      <c r="A970" s="17" t="s">
        <v>393</v>
      </c>
      <c r="H970" s="22">
        <f>H962+H966+H969</f>
        <v>16776.14</v>
      </c>
    </row>
    <row r="971" spans="1:9" x14ac:dyDescent="0.45">
      <c r="A971" s="14" t="s">
        <v>394</v>
      </c>
      <c r="H971" s="22">
        <f>H781+H800+H934+H970</f>
        <v>211750.87</v>
      </c>
    </row>
    <row r="972" spans="1:9" x14ac:dyDescent="0.45">
      <c r="A972" s="7" t="s">
        <v>138</v>
      </c>
    </row>
    <row r="973" spans="1:9" x14ac:dyDescent="0.45">
      <c r="B973" s="20" t="s">
        <v>435</v>
      </c>
      <c r="C973" s="20" t="s">
        <v>233</v>
      </c>
      <c r="D973" s="20" t="s">
        <v>921</v>
      </c>
      <c r="E973" s="20" t="s">
        <v>902</v>
      </c>
      <c r="F973" s="20" t="s">
        <v>903</v>
      </c>
      <c r="G973" s="20" t="s">
        <v>218</v>
      </c>
      <c r="H973" s="21">
        <v>68108</v>
      </c>
      <c r="I973" s="21">
        <v>68108</v>
      </c>
    </row>
    <row r="974" spans="1:9" x14ac:dyDescent="0.45">
      <c r="A974" s="14" t="s">
        <v>922</v>
      </c>
      <c r="H974" s="22">
        <f>H973</f>
        <v>68108</v>
      </c>
    </row>
    <row r="975" spans="1:9" x14ac:dyDescent="0.45">
      <c r="A975" s="15" t="s">
        <v>395</v>
      </c>
      <c r="H975" s="22">
        <f>H728+H971+H974</f>
        <v>287923.54000000004</v>
      </c>
    </row>
    <row r="976" spans="1:9" x14ac:dyDescent="0.45">
      <c r="A976" s="7" t="s">
        <v>140</v>
      </c>
    </row>
    <row r="977" spans="1:9" x14ac:dyDescent="0.45">
      <c r="A977" s="7" t="s">
        <v>141</v>
      </c>
    </row>
    <row r="978" spans="1:9" x14ac:dyDescent="0.45">
      <c r="B978" s="20" t="s">
        <v>435</v>
      </c>
      <c r="C978" s="20" t="s">
        <v>233</v>
      </c>
      <c r="D978" s="20" t="s">
        <v>923</v>
      </c>
      <c r="E978" s="20" t="s">
        <v>924</v>
      </c>
      <c r="F978" s="20" t="s">
        <v>925</v>
      </c>
      <c r="G978" s="20" t="s">
        <v>218</v>
      </c>
      <c r="H978" s="21">
        <v>19867</v>
      </c>
      <c r="I978" s="21">
        <v>19867</v>
      </c>
    </row>
    <row r="979" spans="1:9" x14ac:dyDescent="0.45">
      <c r="A979" s="14" t="s">
        <v>926</v>
      </c>
      <c r="H979" s="22">
        <f>H978</f>
        <v>19867</v>
      </c>
    </row>
    <row r="980" spans="1:9" x14ac:dyDescent="0.45">
      <c r="A980" s="7" t="s">
        <v>142</v>
      </c>
    </row>
    <row r="981" spans="1:9" x14ac:dyDescent="0.45">
      <c r="B981" s="20" t="s">
        <v>439</v>
      </c>
      <c r="C981" s="20" t="s">
        <v>233</v>
      </c>
      <c r="D981" s="20" t="s">
        <v>927</v>
      </c>
      <c r="E981" s="20" t="s">
        <v>928</v>
      </c>
      <c r="F981" s="20" t="s">
        <v>929</v>
      </c>
      <c r="G981" s="20" t="s">
        <v>218</v>
      </c>
      <c r="H981" s="21">
        <v>5000</v>
      </c>
      <c r="I981" s="21">
        <v>5000</v>
      </c>
    </row>
    <row r="982" spans="1:9" x14ac:dyDescent="0.45">
      <c r="A982" s="14" t="s">
        <v>930</v>
      </c>
      <c r="H982" s="22">
        <f>H981</f>
        <v>5000</v>
      </c>
    </row>
    <row r="983" spans="1:9" x14ac:dyDescent="0.45">
      <c r="A983" s="15" t="s">
        <v>931</v>
      </c>
      <c r="H983" s="22">
        <f>H979+H982</f>
        <v>24867</v>
      </c>
    </row>
    <row r="984" spans="1:9" x14ac:dyDescent="0.45">
      <c r="A984" s="7" t="s">
        <v>144</v>
      </c>
    </row>
    <row r="985" spans="1:9" x14ac:dyDescent="0.45">
      <c r="A985" s="7" t="s">
        <v>145</v>
      </c>
    </row>
    <row r="986" spans="1:9" x14ac:dyDescent="0.45">
      <c r="A986" s="7" t="s">
        <v>146</v>
      </c>
    </row>
    <row r="987" spans="1:9" x14ac:dyDescent="0.45">
      <c r="B987" s="20" t="s">
        <v>932</v>
      </c>
      <c r="C987" s="20" t="s">
        <v>233</v>
      </c>
      <c r="D987" s="20" t="s">
        <v>234</v>
      </c>
      <c r="E987" s="20" t="s">
        <v>933</v>
      </c>
      <c r="F987" s="20" t="s">
        <v>434</v>
      </c>
      <c r="G987" s="20" t="s">
        <v>199</v>
      </c>
      <c r="H987" s="21">
        <v>9441.4599999999991</v>
      </c>
      <c r="I987" s="21">
        <f>+H987</f>
        <v>9441.4599999999991</v>
      </c>
    </row>
    <row r="988" spans="1:9" x14ac:dyDescent="0.45">
      <c r="A988" s="17" t="s">
        <v>934</v>
      </c>
      <c r="H988" s="22">
        <f>H987</f>
        <v>9441.4599999999991</v>
      </c>
    </row>
    <row r="989" spans="1:9" x14ac:dyDescent="0.45">
      <c r="A989" s="7" t="s">
        <v>147</v>
      </c>
    </row>
    <row r="990" spans="1:9" x14ac:dyDescent="0.45">
      <c r="B990" s="20" t="s">
        <v>435</v>
      </c>
      <c r="C990" s="20" t="s">
        <v>233</v>
      </c>
      <c r="D990" s="20" t="s">
        <v>234</v>
      </c>
      <c r="E990" s="20" t="s">
        <v>214</v>
      </c>
      <c r="F990" s="20" t="s">
        <v>434</v>
      </c>
      <c r="G990" s="20" t="s">
        <v>199</v>
      </c>
      <c r="H990" s="21">
        <v>691.24</v>
      </c>
      <c r="I990" s="21">
        <f>+H990</f>
        <v>691.24</v>
      </c>
    </row>
    <row r="991" spans="1:9" x14ac:dyDescent="0.45">
      <c r="B991" s="20" t="s">
        <v>564</v>
      </c>
      <c r="C991" s="20" t="s">
        <v>233</v>
      </c>
      <c r="D991" s="20" t="s">
        <v>234</v>
      </c>
      <c r="E991" s="20" t="s">
        <v>214</v>
      </c>
      <c r="F991" s="20" t="s">
        <v>434</v>
      </c>
      <c r="G991" s="20" t="s">
        <v>199</v>
      </c>
      <c r="H991" s="21">
        <v>691.24</v>
      </c>
      <c r="I991" s="21">
        <f>+I990+H991</f>
        <v>1382.48</v>
      </c>
    </row>
    <row r="992" spans="1:9" x14ac:dyDescent="0.45">
      <c r="B992" s="20" t="s">
        <v>565</v>
      </c>
      <c r="C992" s="20" t="s">
        <v>233</v>
      </c>
      <c r="D992" s="20" t="s">
        <v>234</v>
      </c>
      <c r="E992" s="20" t="s">
        <v>214</v>
      </c>
      <c r="F992" s="20" t="s">
        <v>434</v>
      </c>
      <c r="G992" s="20" t="s">
        <v>199</v>
      </c>
      <c r="H992" s="21">
        <v>691.24</v>
      </c>
      <c r="I992" s="21">
        <f t="shared" ref="I992:I996" si="0">+I991+H992</f>
        <v>2073.7200000000003</v>
      </c>
    </row>
    <row r="993" spans="1:9" x14ac:dyDescent="0.45">
      <c r="B993" s="20" t="s">
        <v>566</v>
      </c>
      <c r="C993" s="20" t="s">
        <v>233</v>
      </c>
      <c r="D993" s="20" t="s">
        <v>234</v>
      </c>
      <c r="E993" s="20" t="s">
        <v>214</v>
      </c>
      <c r="F993" s="20" t="s">
        <v>434</v>
      </c>
      <c r="G993" s="20" t="s">
        <v>199</v>
      </c>
      <c r="H993" s="21">
        <v>691.24</v>
      </c>
      <c r="I993" s="21">
        <f t="shared" si="0"/>
        <v>2764.96</v>
      </c>
    </row>
    <row r="994" spans="1:9" x14ac:dyDescent="0.45">
      <c r="B994" s="20" t="s">
        <v>577</v>
      </c>
      <c r="C994" s="20" t="s">
        <v>233</v>
      </c>
      <c r="D994" s="20" t="s">
        <v>234</v>
      </c>
      <c r="E994" s="20" t="s">
        <v>214</v>
      </c>
      <c r="F994" s="20" t="s">
        <v>434</v>
      </c>
      <c r="G994" s="20" t="s">
        <v>199</v>
      </c>
      <c r="H994" s="21">
        <v>691.24</v>
      </c>
      <c r="I994" s="21">
        <f t="shared" si="0"/>
        <v>3456.2</v>
      </c>
    </row>
    <row r="995" spans="1:9" x14ac:dyDescent="0.45">
      <c r="B995" s="20" t="s">
        <v>579</v>
      </c>
      <c r="C995" s="20" t="s">
        <v>233</v>
      </c>
      <c r="D995" s="20" t="s">
        <v>234</v>
      </c>
      <c r="E995" s="20" t="s">
        <v>214</v>
      </c>
      <c r="F995" s="20" t="s">
        <v>434</v>
      </c>
      <c r="G995" s="20" t="s">
        <v>199</v>
      </c>
      <c r="H995" s="21">
        <v>691.24</v>
      </c>
      <c r="I995" s="21">
        <f t="shared" si="0"/>
        <v>4147.4399999999996</v>
      </c>
    </row>
    <row r="996" spans="1:9" x14ac:dyDescent="0.45">
      <c r="B996" s="20" t="s">
        <v>232</v>
      </c>
      <c r="C996" s="20" t="s">
        <v>233</v>
      </c>
      <c r="D996" s="20" t="s">
        <v>234</v>
      </c>
      <c r="E996" s="20" t="s">
        <v>214</v>
      </c>
      <c r="F996" s="20" t="s">
        <v>434</v>
      </c>
      <c r="G996" s="20" t="s">
        <v>199</v>
      </c>
      <c r="H996" s="21">
        <v>691.24</v>
      </c>
      <c r="I996" s="21">
        <f t="shared" si="0"/>
        <v>4838.6799999999994</v>
      </c>
    </row>
    <row r="997" spans="1:9" x14ac:dyDescent="0.45">
      <c r="A997" s="17" t="s">
        <v>396</v>
      </c>
      <c r="H997" s="22">
        <f>H990+H991+H992+H993+H994+H995+H996</f>
        <v>4838.6799999999994</v>
      </c>
    </row>
    <row r="998" spans="1:9" x14ac:dyDescent="0.45">
      <c r="A998" s="7" t="s">
        <v>148</v>
      </c>
    </row>
    <row r="999" spans="1:9" x14ac:dyDescent="0.45">
      <c r="B999" s="20" t="s">
        <v>585</v>
      </c>
      <c r="C999" s="20" t="s">
        <v>233</v>
      </c>
      <c r="D999" s="20" t="s">
        <v>935</v>
      </c>
      <c r="E999" s="20" t="s">
        <v>727</v>
      </c>
      <c r="F999" s="20" t="s">
        <v>936</v>
      </c>
      <c r="G999" s="20" t="s">
        <v>218</v>
      </c>
      <c r="H999" s="21">
        <v>13717.02</v>
      </c>
      <c r="I999" s="21">
        <v>13717.02</v>
      </c>
    </row>
    <row r="1000" spans="1:9" x14ac:dyDescent="0.45">
      <c r="A1000" s="17" t="s">
        <v>937</v>
      </c>
      <c r="H1000" s="22">
        <f>H999</f>
        <v>13717.02</v>
      </c>
    </row>
    <row r="1001" spans="1:9" x14ac:dyDescent="0.45">
      <c r="A1001" s="14" t="s">
        <v>397</v>
      </c>
      <c r="H1001" s="22">
        <f>H988+H997+H1000</f>
        <v>27997.16</v>
      </c>
    </row>
    <row r="1002" spans="1:9" x14ac:dyDescent="0.45">
      <c r="A1002" s="7" t="s">
        <v>150</v>
      </c>
    </row>
    <row r="1003" spans="1:9" x14ac:dyDescent="0.45">
      <c r="A1003" s="7" t="s">
        <v>151</v>
      </c>
    </row>
    <row r="1004" spans="1:9" x14ac:dyDescent="0.45">
      <c r="B1004" s="20" t="s">
        <v>439</v>
      </c>
      <c r="C1004" s="20" t="s">
        <v>233</v>
      </c>
      <c r="D1004" s="20" t="s">
        <v>938</v>
      </c>
      <c r="E1004" s="20" t="s">
        <v>939</v>
      </c>
      <c r="F1004" s="20" t="s">
        <v>434</v>
      </c>
      <c r="G1004" s="20" t="s">
        <v>218</v>
      </c>
      <c r="H1004" s="21">
        <f>923.56+12966.77</f>
        <v>13890.33</v>
      </c>
      <c r="I1004" s="21">
        <f>+H1004</f>
        <v>13890.33</v>
      </c>
    </row>
    <row r="1005" spans="1:9" x14ac:dyDescent="0.45">
      <c r="A1005" s="17" t="s">
        <v>940</v>
      </c>
      <c r="H1005" s="22">
        <f>H1004</f>
        <v>13890.33</v>
      </c>
    </row>
    <row r="1006" spans="1:9" x14ac:dyDescent="0.45">
      <c r="A1006" s="7" t="s">
        <v>152</v>
      </c>
    </row>
    <row r="1007" spans="1:9" x14ac:dyDescent="0.45">
      <c r="B1007" s="20" t="s">
        <v>941</v>
      </c>
      <c r="C1007" s="20" t="s">
        <v>233</v>
      </c>
      <c r="D1007" s="20" t="s">
        <v>234</v>
      </c>
      <c r="E1007" s="20" t="s">
        <v>214</v>
      </c>
      <c r="F1007" s="20" t="s">
        <v>434</v>
      </c>
      <c r="G1007" s="20" t="s">
        <v>218</v>
      </c>
      <c r="H1007" s="21">
        <v>3327.53</v>
      </c>
      <c r="I1007" s="21">
        <f>+H1007</f>
        <v>3327.53</v>
      </c>
    </row>
    <row r="1008" spans="1:9" x14ac:dyDescent="0.45">
      <c r="B1008" s="20" t="s">
        <v>942</v>
      </c>
      <c r="C1008" s="20" t="s">
        <v>233</v>
      </c>
      <c r="D1008" s="20" t="s">
        <v>234</v>
      </c>
      <c r="E1008" s="20" t="s">
        <v>214</v>
      </c>
      <c r="F1008" s="20" t="s">
        <v>434</v>
      </c>
      <c r="G1008" s="20" t="s">
        <v>218</v>
      </c>
      <c r="H1008" s="21">
        <v>3327.53</v>
      </c>
      <c r="I1008" s="21">
        <f>+I1007+H1008</f>
        <v>6655.06</v>
      </c>
    </row>
    <row r="1009" spans="1:9" x14ac:dyDescent="0.45">
      <c r="B1009" s="20" t="s">
        <v>565</v>
      </c>
      <c r="C1009" s="20" t="s">
        <v>233</v>
      </c>
      <c r="D1009" s="20" t="s">
        <v>234</v>
      </c>
      <c r="E1009" s="20" t="s">
        <v>214</v>
      </c>
      <c r="F1009" s="20" t="s">
        <v>434</v>
      </c>
      <c r="G1009" s="20" t="s">
        <v>218</v>
      </c>
      <c r="H1009" s="21">
        <v>3327.53</v>
      </c>
      <c r="I1009" s="21">
        <f t="shared" ref="I1009:I1013" si="1">+I1008+H1009</f>
        <v>9982.59</v>
      </c>
    </row>
    <row r="1010" spans="1:9" x14ac:dyDescent="0.45">
      <c r="B1010" s="20" t="s">
        <v>570</v>
      </c>
      <c r="C1010" s="20" t="s">
        <v>233</v>
      </c>
      <c r="D1010" s="20" t="s">
        <v>234</v>
      </c>
      <c r="E1010" s="20" t="s">
        <v>214</v>
      </c>
      <c r="F1010" s="20" t="s">
        <v>434</v>
      </c>
      <c r="G1010" s="20" t="s">
        <v>218</v>
      </c>
      <c r="H1010" s="21">
        <v>3327.53</v>
      </c>
      <c r="I1010" s="21">
        <f t="shared" si="1"/>
        <v>13310.12</v>
      </c>
    </row>
    <row r="1011" spans="1:9" x14ac:dyDescent="0.45">
      <c r="B1011" s="20" t="s">
        <v>943</v>
      </c>
      <c r="C1011" s="20" t="s">
        <v>233</v>
      </c>
      <c r="D1011" s="20" t="s">
        <v>234</v>
      </c>
      <c r="E1011" s="20" t="s">
        <v>214</v>
      </c>
      <c r="F1011" s="20" t="s">
        <v>434</v>
      </c>
      <c r="G1011" s="20" t="s">
        <v>218</v>
      </c>
      <c r="H1011" s="21">
        <v>3327.53</v>
      </c>
      <c r="I1011" s="21">
        <f t="shared" si="1"/>
        <v>16637.650000000001</v>
      </c>
    </row>
    <row r="1012" spans="1:9" x14ac:dyDescent="0.45">
      <c r="B1012" s="20" t="s">
        <v>676</v>
      </c>
      <c r="C1012" s="20" t="s">
        <v>233</v>
      </c>
      <c r="D1012" s="20" t="s">
        <v>944</v>
      </c>
      <c r="E1012" s="20" t="s">
        <v>214</v>
      </c>
      <c r="F1012" s="20" t="s">
        <v>434</v>
      </c>
      <c r="G1012" s="20" t="s">
        <v>218</v>
      </c>
      <c r="H1012" s="21">
        <v>3327.53</v>
      </c>
      <c r="I1012" s="21">
        <f t="shared" si="1"/>
        <v>19965.18</v>
      </c>
    </row>
    <row r="1013" spans="1:9" x14ac:dyDescent="0.45">
      <c r="B1013" s="20" t="s">
        <v>202</v>
      </c>
      <c r="C1013" s="20" t="s">
        <v>233</v>
      </c>
      <c r="D1013" s="20" t="s">
        <v>234</v>
      </c>
      <c r="E1013" s="20" t="s">
        <v>214</v>
      </c>
      <c r="F1013" s="20" t="s">
        <v>434</v>
      </c>
      <c r="G1013" s="20" t="s">
        <v>218</v>
      </c>
      <c r="H1013" s="21">
        <v>3327.53</v>
      </c>
      <c r="I1013" s="21">
        <f t="shared" si="1"/>
        <v>23292.71</v>
      </c>
    </row>
    <row r="1014" spans="1:9" x14ac:dyDescent="0.45">
      <c r="A1014" s="17" t="s">
        <v>398</v>
      </c>
      <c r="H1014" s="22">
        <f>H1007+H1008+H1009+H1010+H1011+H1012+H1013</f>
        <v>23292.71</v>
      </c>
    </row>
    <row r="1015" spans="1:9" x14ac:dyDescent="0.45">
      <c r="A1015" s="7" t="s">
        <v>153</v>
      </c>
    </row>
    <row r="1016" spans="1:9" x14ac:dyDescent="0.45">
      <c r="B1016" s="20" t="s">
        <v>439</v>
      </c>
      <c r="C1016" s="20" t="s">
        <v>233</v>
      </c>
      <c r="D1016" s="20" t="s">
        <v>938</v>
      </c>
      <c r="E1016" s="20" t="s">
        <v>939</v>
      </c>
      <c r="F1016" s="20" t="s">
        <v>434</v>
      </c>
      <c r="G1016" s="20" t="s">
        <v>218</v>
      </c>
      <c r="H1016" s="21">
        <f>21617.75+38217.56</f>
        <v>59835.31</v>
      </c>
      <c r="I1016" s="21">
        <f>+H1016</f>
        <v>59835.31</v>
      </c>
    </row>
    <row r="1017" spans="1:9" x14ac:dyDescent="0.45">
      <c r="A1017" s="17" t="s">
        <v>945</v>
      </c>
      <c r="H1017" s="22">
        <f>H1016</f>
        <v>59835.31</v>
      </c>
    </row>
    <row r="1018" spans="1:9" x14ac:dyDescent="0.45">
      <c r="A1018" s="14" t="s">
        <v>399</v>
      </c>
      <c r="H1018" s="22">
        <f>H1005+H1014+H1017</f>
        <v>97018.35</v>
      </c>
    </row>
    <row r="1019" spans="1:9" x14ac:dyDescent="0.45">
      <c r="A1019" s="15" t="s">
        <v>400</v>
      </c>
      <c r="H1019" s="22">
        <f>H1001+H1018</f>
        <v>125015.51000000001</v>
      </c>
    </row>
    <row r="1020" spans="1:9" x14ac:dyDescent="0.45">
      <c r="A1020" s="7" t="s">
        <v>156</v>
      </c>
    </row>
    <row r="1021" spans="1:9" x14ac:dyDescent="0.45">
      <c r="B1021" s="20" t="s">
        <v>435</v>
      </c>
      <c r="C1021" s="20" t="s">
        <v>233</v>
      </c>
      <c r="D1021" s="20" t="s">
        <v>946</v>
      </c>
      <c r="E1021" s="20" t="s">
        <v>402</v>
      </c>
      <c r="F1021" s="20" t="s">
        <v>307</v>
      </c>
      <c r="G1021" s="20" t="s">
        <v>218</v>
      </c>
      <c r="H1021" s="21">
        <v>921.97</v>
      </c>
      <c r="I1021" s="21">
        <v>921.97</v>
      </c>
    </row>
    <row r="1022" spans="1:9" x14ac:dyDescent="0.45">
      <c r="B1022" s="20" t="s">
        <v>439</v>
      </c>
      <c r="C1022" s="20" t="s">
        <v>233</v>
      </c>
      <c r="D1022" s="20" t="s">
        <v>947</v>
      </c>
      <c r="E1022" s="20" t="s">
        <v>402</v>
      </c>
      <c r="F1022" s="20" t="s">
        <v>307</v>
      </c>
      <c r="G1022" s="20" t="s">
        <v>218</v>
      </c>
      <c r="H1022" s="21">
        <v>922.01</v>
      </c>
      <c r="I1022" s="21">
        <v>1843.98</v>
      </c>
    </row>
    <row r="1023" spans="1:9" x14ac:dyDescent="0.45">
      <c r="B1023" s="20" t="s">
        <v>585</v>
      </c>
      <c r="C1023" s="20" t="s">
        <v>233</v>
      </c>
      <c r="D1023" s="20" t="s">
        <v>948</v>
      </c>
      <c r="E1023" s="20" t="s">
        <v>402</v>
      </c>
      <c r="F1023" s="20" t="s">
        <v>307</v>
      </c>
      <c r="G1023" s="20" t="s">
        <v>218</v>
      </c>
      <c r="H1023" s="21">
        <v>922.01</v>
      </c>
      <c r="I1023" s="21">
        <v>2765.99</v>
      </c>
    </row>
    <row r="1024" spans="1:9" x14ac:dyDescent="0.45">
      <c r="B1024" s="20" t="s">
        <v>540</v>
      </c>
      <c r="C1024" s="20" t="s">
        <v>233</v>
      </c>
      <c r="D1024" s="20" t="s">
        <v>949</v>
      </c>
      <c r="E1024" s="20" t="s">
        <v>402</v>
      </c>
      <c r="F1024" s="20" t="s">
        <v>307</v>
      </c>
      <c r="G1024" s="20" t="s">
        <v>218</v>
      </c>
      <c r="H1024" s="21">
        <v>922.01</v>
      </c>
      <c r="I1024" s="21">
        <v>3688</v>
      </c>
    </row>
    <row r="1025" spans="1:9" x14ac:dyDescent="0.45">
      <c r="B1025" s="20" t="s">
        <v>588</v>
      </c>
      <c r="C1025" s="20" t="s">
        <v>233</v>
      </c>
      <c r="D1025" s="20" t="s">
        <v>950</v>
      </c>
      <c r="E1025" s="20" t="s">
        <v>402</v>
      </c>
      <c r="F1025" s="20" t="s">
        <v>307</v>
      </c>
      <c r="G1025" s="20" t="s">
        <v>218</v>
      </c>
      <c r="H1025" s="21">
        <v>922.01</v>
      </c>
      <c r="I1025" s="21">
        <v>4610.01</v>
      </c>
    </row>
    <row r="1026" spans="1:9" x14ac:dyDescent="0.45">
      <c r="B1026" s="20" t="s">
        <v>484</v>
      </c>
      <c r="C1026" s="20" t="s">
        <v>233</v>
      </c>
      <c r="D1026" s="20" t="s">
        <v>951</v>
      </c>
      <c r="E1026" s="20" t="s">
        <v>402</v>
      </c>
      <c r="F1026" s="20" t="s">
        <v>307</v>
      </c>
      <c r="G1026" s="20" t="s">
        <v>218</v>
      </c>
      <c r="H1026" s="21">
        <v>922.01</v>
      </c>
      <c r="I1026" s="21">
        <v>5532.02</v>
      </c>
    </row>
    <row r="1027" spans="1:9" x14ac:dyDescent="0.45">
      <c r="B1027" s="20" t="s">
        <v>247</v>
      </c>
      <c r="C1027" s="20" t="s">
        <v>233</v>
      </c>
      <c r="D1027" s="20" t="s">
        <v>401</v>
      </c>
      <c r="E1027" s="20" t="s">
        <v>402</v>
      </c>
      <c r="F1027" s="20" t="s">
        <v>307</v>
      </c>
      <c r="G1027" s="20" t="s">
        <v>218</v>
      </c>
      <c r="H1027" s="21">
        <v>922.01</v>
      </c>
      <c r="I1027" s="21">
        <v>6454.0300000000007</v>
      </c>
    </row>
    <row r="1028" spans="1:9" x14ac:dyDescent="0.45">
      <c r="A1028" s="15" t="s">
        <v>403</v>
      </c>
      <c r="H1028" s="22">
        <f>H1021+H1022+H1023+H1024+H1025+H1026+H1027</f>
        <v>6454.0300000000007</v>
      </c>
    </row>
    <row r="1029" spans="1:9" x14ac:dyDescent="0.45">
      <c r="A1029" s="7" t="s">
        <v>157</v>
      </c>
    </row>
    <row r="1030" spans="1:9" x14ac:dyDescent="0.45">
      <c r="A1030" s="7" t="s">
        <v>158</v>
      </c>
    </row>
    <row r="1031" spans="1:9" x14ac:dyDescent="0.45">
      <c r="B1031" s="20" t="s">
        <v>555</v>
      </c>
      <c r="C1031" s="20" t="s">
        <v>233</v>
      </c>
      <c r="D1031" s="20" t="s">
        <v>284</v>
      </c>
      <c r="E1031" s="20" t="s">
        <v>369</v>
      </c>
      <c r="F1031" s="20" t="s">
        <v>952</v>
      </c>
      <c r="G1031" s="20" t="s">
        <v>218</v>
      </c>
      <c r="H1031" s="21">
        <v>471.68</v>
      </c>
      <c r="I1031" s="21">
        <v>471.68</v>
      </c>
    </row>
    <row r="1032" spans="1:9" x14ac:dyDescent="0.45">
      <c r="B1032" s="20" t="s">
        <v>555</v>
      </c>
      <c r="C1032" s="20" t="s">
        <v>233</v>
      </c>
      <c r="D1032" s="20" t="s">
        <v>284</v>
      </c>
      <c r="E1032" s="20" t="s">
        <v>369</v>
      </c>
      <c r="F1032" s="20" t="s">
        <v>237</v>
      </c>
      <c r="G1032" s="20" t="s">
        <v>218</v>
      </c>
      <c r="H1032" s="21">
        <v>-6.84</v>
      </c>
      <c r="I1032" s="21">
        <v>464.84000000000003</v>
      </c>
    </row>
    <row r="1033" spans="1:9" x14ac:dyDescent="0.45">
      <c r="B1033" s="20" t="s">
        <v>555</v>
      </c>
      <c r="C1033" s="20" t="s">
        <v>233</v>
      </c>
      <c r="D1033" s="20" t="s">
        <v>284</v>
      </c>
      <c r="E1033" s="20" t="s">
        <v>369</v>
      </c>
      <c r="F1033" s="20" t="s">
        <v>244</v>
      </c>
      <c r="G1033" s="20" t="s">
        <v>218</v>
      </c>
      <c r="H1033" s="21">
        <v>-29.24</v>
      </c>
      <c r="I1033" s="21">
        <v>435.6</v>
      </c>
    </row>
    <row r="1034" spans="1:9" x14ac:dyDescent="0.45">
      <c r="B1034" s="20" t="s">
        <v>435</v>
      </c>
      <c r="C1034" s="20" t="s">
        <v>233</v>
      </c>
      <c r="D1034" s="20" t="s">
        <v>234</v>
      </c>
      <c r="E1034" s="20" t="s">
        <v>245</v>
      </c>
      <c r="F1034" s="20" t="s">
        <v>953</v>
      </c>
      <c r="G1034" s="20" t="s">
        <v>199</v>
      </c>
      <c r="H1034" s="21">
        <v>75.900000000000006</v>
      </c>
      <c r="I1034" s="21">
        <v>511.5</v>
      </c>
    </row>
    <row r="1035" spans="1:9" x14ac:dyDescent="0.45">
      <c r="B1035" s="20" t="s">
        <v>465</v>
      </c>
      <c r="C1035" s="20" t="s">
        <v>233</v>
      </c>
      <c r="D1035" s="20" t="s">
        <v>862</v>
      </c>
      <c r="E1035" s="20" t="s">
        <v>369</v>
      </c>
      <c r="F1035" s="20" t="s">
        <v>954</v>
      </c>
      <c r="G1035" s="20" t="s">
        <v>218</v>
      </c>
      <c r="H1035" s="21">
        <v>375.36</v>
      </c>
      <c r="I1035" s="21">
        <v>886.86</v>
      </c>
    </row>
    <row r="1036" spans="1:9" x14ac:dyDescent="0.45">
      <c r="B1036" s="20" t="s">
        <v>465</v>
      </c>
      <c r="C1036" s="20" t="s">
        <v>233</v>
      </c>
      <c r="D1036" s="20" t="s">
        <v>862</v>
      </c>
      <c r="E1036" s="20" t="s">
        <v>369</v>
      </c>
      <c r="F1036" s="20" t="s">
        <v>237</v>
      </c>
      <c r="G1036" s="20" t="s">
        <v>218</v>
      </c>
      <c r="H1036" s="21">
        <v>-5.44</v>
      </c>
      <c r="I1036" s="21">
        <v>881.42</v>
      </c>
    </row>
    <row r="1037" spans="1:9" x14ac:dyDescent="0.45">
      <c r="B1037" s="20" t="s">
        <v>465</v>
      </c>
      <c r="C1037" s="20" t="s">
        <v>233</v>
      </c>
      <c r="D1037" s="20" t="s">
        <v>862</v>
      </c>
      <c r="E1037" s="20" t="s">
        <v>369</v>
      </c>
      <c r="F1037" s="20" t="s">
        <v>244</v>
      </c>
      <c r="G1037" s="20" t="s">
        <v>218</v>
      </c>
      <c r="H1037" s="21">
        <v>-23.27</v>
      </c>
      <c r="I1037" s="21">
        <v>858.15</v>
      </c>
    </row>
    <row r="1038" spans="1:9" x14ac:dyDescent="0.45">
      <c r="B1038" s="20" t="s">
        <v>564</v>
      </c>
      <c r="C1038" s="20" t="s">
        <v>233</v>
      </c>
      <c r="D1038" s="20" t="s">
        <v>234</v>
      </c>
      <c r="E1038" s="20" t="s">
        <v>245</v>
      </c>
      <c r="F1038" s="20" t="s">
        <v>953</v>
      </c>
      <c r="G1038" s="20" t="s">
        <v>199</v>
      </c>
      <c r="H1038" s="21">
        <v>62.36</v>
      </c>
      <c r="I1038" s="21">
        <v>920.51</v>
      </c>
    </row>
    <row r="1039" spans="1:9" x14ac:dyDescent="0.45">
      <c r="B1039" s="20" t="s">
        <v>574</v>
      </c>
      <c r="C1039" s="20" t="s">
        <v>233</v>
      </c>
      <c r="D1039" s="20" t="s">
        <v>295</v>
      </c>
      <c r="E1039" s="20" t="s">
        <v>369</v>
      </c>
      <c r="F1039" s="20" t="s">
        <v>955</v>
      </c>
      <c r="G1039" s="20" t="s">
        <v>218</v>
      </c>
      <c r="H1039" s="21">
        <v>309.12</v>
      </c>
      <c r="I1039" s="21">
        <v>1229.6300000000001</v>
      </c>
    </row>
    <row r="1040" spans="1:9" x14ac:dyDescent="0.45">
      <c r="B1040" s="20" t="s">
        <v>574</v>
      </c>
      <c r="C1040" s="20" t="s">
        <v>233</v>
      </c>
      <c r="D1040" s="20" t="s">
        <v>295</v>
      </c>
      <c r="E1040" s="20" t="s">
        <v>369</v>
      </c>
      <c r="F1040" s="20" t="s">
        <v>237</v>
      </c>
      <c r="G1040" s="20" t="s">
        <v>218</v>
      </c>
      <c r="H1040" s="21">
        <v>-4.4800000000000004</v>
      </c>
      <c r="I1040" s="21">
        <v>1225.1500000000001</v>
      </c>
    </row>
    <row r="1041" spans="2:9" x14ac:dyDescent="0.45">
      <c r="B1041" s="20" t="s">
        <v>574</v>
      </c>
      <c r="C1041" s="20" t="s">
        <v>233</v>
      </c>
      <c r="D1041" s="20" t="s">
        <v>295</v>
      </c>
      <c r="E1041" s="20" t="s">
        <v>369</v>
      </c>
      <c r="F1041" s="20" t="s">
        <v>244</v>
      </c>
      <c r="G1041" s="20" t="s">
        <v>218</v>
      </c>
      <c r="H1041" s="21">
        <v>-19.16</v>
      </c>
      <c r="I1041" s="21">
        <v>1205.99</v>
      </c>
    </row>
    <row r="1042" spans="2:9" x14ac:dyDescent="0.45">
      <c r="B1042" s="20" t="s">
        <v>565</v>
      </c>
      <c r="C1042" s="20" t="s">
        <v>233</v>
      </c>
      <c r="D1042" s="20" t="s">
        <v>234</v>
      </c>
      <c r="E1042" s="20" t="s">
        <v>245</v>
      </c>
      <c r="F1042" s="20" t="s">
        <v>405</v>
      </c>
      <c r="G1042" s="20" t="s">
        <v>199</v>
      </c>
      <c r="H1042" s="21">
        <v>48.5</v>
      </c>
      <c r="I1042" s="21">
        <v>1254.49</v>
      </c>
    </row>
    <row r="1043" spans="2:9" x14ac:dyDescent="0.45">
      <c r="B1043" s="20" t="s">
        <v>566</v>
      </c>
      <c r="C1043" s="20" t="s">
        <v>233</v>
      </c>
      <c r="D1043" s="20" t="s">
        <v>284</v>
      </c>
      <c r="E1043" s="20" t="s">
        <v>369</v>
      </c>
      <c r="F1043" s="20" t="s">
        <v>956</v>
      </c>
      <c r="G1043" s="20" t="s">
        <v>218</v>
      </c>
      <c r="H1043" s="21">
        <v>242.88</v>
      </c>
      <c r="I1043" s="21">
        <v>1497.37</v>
      </c>
    </row>
    <row r="1044" spans="2:9" x14ac:dyDescent="0.45">
      <c r="B1044" s="20" t="s">
        <v>566</v>
      </c>
      <c r="C1044" s="20" t="s">
        <v>233</v>
      </c>
      <c r="D1044" s="20" t="s">
        <v>284</v>
      </c>
      <c r="E1044" s="20" t="s">
        <v>369</v>
      </c>
      <c r="F1044" s="20" t="s">
        <v>237</v>
      </c>
      <c r="G1044" s="20" t="s">
        <v>218</v>
      </c>
      <c r="H1044" s="21">
        <v>-3.52</v>
      </c>
      <c r="I1044" s="21">
        <v>1493.85</v>
      </c>
    </row>
    <row r="1045" spans="2:9" x14ac:dyDescent="0.45">
      <c r="B1045" s="20" t="s">
        <v>566</v>
      </c>
      <c r="C1045" s="20" t="s">
        <v>233</v>
      </c>
      <c r="D1045" s="20" t="s">
        <v>284</v>
      </c>
      <c r="E1045" s="20" t="s">
        <v>369</v>
      </c>
      <c r="F1045" s="20" t="s">
        <v>244</v>
      </c>
      <c r="G1045" s="20" t="s">
        <v>218</v>
      </c>
      <c r="H1045" s="21">
        <v>-15.54</v>
      </c>
      <c r="I1045" s="21">
        <v>1478.31</v>
      </c>
    </row>
    <row r="1046" spans="2:9" x14ac:dyDescent="0.45">
      <c r="B1046" s="20" t="s">
        <v>570</v>
      </c>
      <c r="C1046" s="20" t="s">
        <v>233</v>
      </c>
      <c r="D1046" s="20" t="s">
        <v>234</v>
      </c>
      <c r="E1046" s="20" t="s">
        <v>245</v>
      </c>
      <c r="F1046" s="20" t="s">
        <v>953</v>
      </c>
      <c r="G1046" s="20" t="s">
        <v>199</v>
      </c>
      <c r="H1046" s="21">
        <v>42.09</v>
      </c>
      <c r="I1046" s="21">
        <v>1520.3999999999999</v>
      </c>
    </row>
    <row r="1047" spans="2:9" x14ac:dyDescent="0.45">
      <c r="B1047" s="20" t="s">
        <v>577</v>
      </c>
      <c r="C1047" s="20" t="s">
        <v>233</v>
      </c>
      <c r="D1047" s="20" t="s">
        <v>284</v>
      </c>
      <c r="E1047" s="20" t="s">
        <v>369</v>
      </c>
      <c r="F1047" s="20" t="s">
        <v>957</v>
      </c>
      <c r="G1047" s="20" t="s">
        <v>218</v>
      </c>
      <c r="H1047" s="21">
        <v>552</v>
      </c>
      <c r="I1047" s="21">
        <v>2072.3999999999996</v>
      </c>
    </row>
    <row r="1048" spans="2:9" x14ac:dyDescent="0.45">
      <c r="B1048" s="20" t="s">
        <v>577</v>
      </c>
      <c r="C1048" s="20" t="s">
        <v>233</v>
      </c>
      <c r="D1048" s="20" t="s">
        <v>284</v>
      </c>
      <c r="E1048" s="20" t="s">
        <v>369</v>
      </c>
      <c r="F1048" s="20" t="s">
        <v>237</v>
      </c>
      <c r="G1048" s="20" t="s">
        <v>218</v>
      </c>
      <c r="H1048" s="21">
        <v>-8.1199999999999992</v>
      </c>
      <c r="I1048" s="21">
        <v>2064.2799999999997</v>
      </c>
    </row>
    <row r="1049" spans="2:9" x14ac:dyDescent="0.45">
      <c r="B1049" s="20" t="s">
        <v>577</v>
      </c>
      <c r="C1049" s="20" t="s">
        <v>233</v>
      </c>
      <c r="D1049" s="20" t="s">
        <v>284</v>
      </c>
      <c r="E1049" s="20" t="s">
        <v>369</v>
      </c>
      <c r="F1049" s="20" t="s">
        <v>244</v>
      </c>
      <c r="G1049" s="20" t="s">
        <v>218</v>
      </c>
      <c r="H1049" s="21">
        <v>-34.71</v>
      </c>
      <c r="I1049" s="21">
        <v>2029.5699999999997</v>
      </c>
    </row>
    <row r="1050" spans="2:9" x14ac:dyDescent="0.45">
      <c r="B1050" s="20" t="s">
        <v>571</v>
      </c>
      <c r="C1050" s="20" t="s">
        <v>233</v>
      </c>
      <c r="D1050" s="20" t="s">
        <v>234</v>
      </c>
      <c r="E1050" s="20" t="s">
        <v>245</v>
      </c>
      <c r="F1050" s="20" t="s">
        <v>405</v>
      </c>
      <c r="G1050" s="20" t="s">
        <v>199</v>
      </c>
      <c r="H1050" s="21">
        <v>85.66</v>
      </c>
      <c r="I1050" s="21">
        <v>2115.2299999999996</v>
      </c>
    </row>
    <row r="1051" spans="2:9" x14ac:dyDescent="0.45">
      <c r="B1051" s="20" t="s">
        <v>579</v>
      </c>
      <c r="C1051" s="20" t="s">
        <v>233</v>
      </c>
      <c r="D1051" s="20" t="s">
        <v>234</v>
      </c>
      <c r="E1051" s="20" t="s">
        <v>369</v>
      </c>
      <c r="F1051" s="20" t="s">
        <v>404</v>
      </c>
      <c r="G1051" s="20" t="s">
        <v>218</v>
      </c>
      <c r="H1051" s="21">
        <v>596.16</v>
      </c>
      <c r="I1051" s="21">
        <v>2711.3899999999994</v>
      </c>
    </row>
    <row r="1052" spans="2:9" x14ac:dyDescent="0.45">
      <c r="B1052" s="20" t="s">
        <v>579</v>
      </c>
      <c r="C1052" s="20" t="s">
        <v>233</v>
      </c>
      <c r="D1052" s="20" t="s">
        <v>234</v>
      </c>
      <c r="E1052" s="20" t="s">
        <v>369</v>
      </c>
      <c r="F1052" s="20" t="s">
        <v>237</v>
      </c>
      <c r="G1052" s="20" t="s">
        <v>218</v>
      </c>
      <c r="H1052" s="21">
        <v>-8.64</v>
      </c>
      <c r="I1052" s="21">
        <v>2702.7499999999995</v>
      </c>
    </row>
    <row r="1053" spans="2:9" x14ac:dyDescent="0.45">
      <c r="B1053" s="20" t="s">
        <v>579</v>
      </c>
      <c r="C1053" s="20" t="s">
        <v>233</v>
      </c>
      <c r="D1053" s="20" t="s">
        <v>234</v>
      </c>
      <c r="E1053" s="20" t="s">
        <v>369</v>
      </c>
      <c r="F1053" s="20" t="s">
        <v>244</v>
      </c>
      <c r="G1053" s="20" t="s">
        <v>218</v>
      </c>
      <c r="H1053" s="21">
        <v>-37.450000000000003</v>
      </c>
      <c r="I1053" s="21">
        <v>2665.2999999999997</v>
      </c>
    </row>
    <row r="1054" spans="2:9" x14ac:dyDescent="0.45">
      <c r="B1054" s="20" t="s">
        <v>232</v>
      </c>
      <c r="C1054" s="20" t="s">
        <v>233</v>
      </c>
      <c r="D1054" s="20" t="s">
        <v>234</v>
      </c>
      <c r="E1054" s="20" t="s">
        <v>369</v>
      </c>
      <c r="F1054" s="20" t="s">
        <v>404</v>
      </c>
      <c r="G1054" s="20" t="s">
        <v>218</v>
      </c>
      <c r="H1054" s="21">
        <v>596.16</v>
      </c>
      <c r="I1054" s="21">
        <v>3261.4599999999996</v>
      </c>
    </row>
    <row r="1055" spans="2:9" x14ac:dyDescent="0.45">
      <c r="B1055" s="20" t="s">
        <v>232</v>
      </c>
      <c r="C1055" s="20" t="s">
        <v>233</v>
      </c>
      <c r="D1055" s="20" t="s">
        <v>234</v>
      </c>
      <c r="E1055" s="20" t="s">
        <v>369</v>
      </c>
      <c r="F1055" s="20" t="s">
        <v>237</v>
      </c>
      <c r="G1055" s="20" t="s">
        <v>218</v>
      </c>
      <c r="H1055" s="21">
        <v>-8.76</v>
      </c>
      <c r="I1055" s="21">
        <v>3252.6999999999994</v>
      </c>
    </row>
    <row r="1056" spans="2:9" x14ac:dyDescent="0.45">
      <c r="B1056" s="20" t="s">
        <v>232</v>
      </c>
      <c r="C1056" s="20" t="s">
        <v>233</v>
      </c>
      <c r="D1056" s="20" t="s">
        <v>234</v>
      </c>
      <c r="E1056" s="20" t="s">
        <v>369</v>
      </c>
      <c r="F1056" s="20" t="s">
        <v>244</v>
      </c>
      <c r="G1056" s="20" t="s">
        <v>218</v>
      </c>
      <c r="H1056" s="21">
        <v>-37.450000000000003</v>
      </c>
      <c r="I1056" s="21">
        <v>3215.2499999999995</v>
      </c>
    </row>
    <row r="1057" spans="1:9" x14ac:dyDescent="0.45">
      <c r="B1057" s="20" t="s">
        <v>232</v>
      </c>
      <c r="C1057" s="20" t="s">
        <v>233</v>
      </c>
      <c r="D1057" s="20" t="s">
        <v>234</v>
      </c>
      <c r="E1057" s="20" t="s">
        <v>245</v>
      </c>
      <c r="F1057" s="20" t="s">
        <v>405</v>
      </c>
      <c r="G1057" s="20" t="s">
        <v>199</v>
      </c>
      <c r="H1057" s="21">
        <v>92.41</v>
      </c>
      <c r="I1057" s="21">
        <v>3307.6599999999994</v>
      </c>
    </row>
    <row r="1058" spans="1:9" x14ac:dyDescent="0.45">
      <c r="B1058" s="20" t="s">
        <v>213</v>
      </c>
      <c r="C1058" s="20" t="s">
        <v>233</v>
      </c>
      <c r="D1058" s="20" t="s">
        <v>234</v>
      </c>
      <c r="E1058" s="20" t="s">
        <v>245</v>
      </c>
      <c r="F1058" s="20" t="s">
        <v>405</v>
      </c>
      <c r="G1058" s="20" t="s">
        <v>199</v>
      </c>
      <c r="H1058" s="21">
        <v>92.41</v>
      </c>
      <c r="I1058" s="21">
        <v>3400.0699999999993</v>
      </c>
    </row>
    <row r="1059" spans="1:9" x14ac:dyDescent="0.45">
      <c r="A1059" s="14" t="s">
        <v>406</v>
      </c>
      <c r="H1059" s="22">
        <f>H1031+H1032+H1033+H1034+H1035+H1036+H1037+H1038+H1039+H1040+H1041+H1042+H1043+H1044+H1045+H1046+H1047+H1048+H1049+H1050+H1051+H1052+H1053+H1054+H1055+H1056+H1057+H1058</f>
        <v>3400.0699999999993</v>
      </c>
    </row>
    <row r="1060" spans="1:9" x14ac:dyDescent="0.45">
      <c r="A1060" s="7" t="s">
        <v>102</v>
      </c>
    </row>
    <row r="1061" spans="1:9" x14ac:dyDescent="0.45">
      <c r="B1061" s="20" t="s">
        <v>435</v>
      </c>
      <c r="C1061" s="20" t="s">
        <v>233</v>
      </c>
      <c r="D1061" s="20" t="s">
        <v>887</v>
      </c>
      <c r="E1061" s="20" t="s">
        <v>387</v>
      </c>
      <c r="F1061" s="20" t="s">
        <v>175</v>
      </c>
      <c r="G1061" s="20" t="s">
        <v>218</v>
      </c>
      <c r="H1061" s="20"/>
      <c r="I1061" s="20"/>
    </row>
    <row r="1062" spans="1:9" x14ac:dyDescent="0.45">
      <c r="B1062" s="20" t="s">
        <v>958</v>
      </c>
      <c r="C1062" s="20" t="s">
        <v>233</v>
      </c>
      <c r="D1062" s="20" t="s">
        <v>959</v>
      </c>
      <c r="E1062" s="20" t="s">
        <v>765</v>
      </c>
      <c r="F1062" s="20" t="s">
        <v>960</v>
      </c>
      <c r="G1062" s="20" t="s">
        <v>216</v>
      </c>
      <c r="H1062" s="21">
        <v>639.85</v>
      </c>
      <c r="I1062" s="21">
        <v>639.85</v>
      </c>
    </row>
    <row r="1063" spans="1:9" x14ac:dyDescent="0.45">
      <c r="B1063" s="20" t="s">
        <v>588</v>
      </c>
      <c r="C1063" s="20" t="s">
        <v>233</v>
      </c>
      <c r="D1063" s="20" t="s">
        <v>961</v>
      </c>
      <c r="E1063" s="20" t="s">
        <v>962</v>
      </c>
      <c r="F1063" s="20" t="s">
        <v>963</v>
      </c>
      <c r="G1063" s="20" t="s">
        <v>218</v>
      </c>
      <c r="H1063" s="21">
        <v>527</v>
      </c>
      <c r="I1063" s="21">
        <v>1166.8499999999999</v>
      </c>
    </row>
    <row r="1064" spans="1:9" x14ac:dyDescent="0.45">
      <c r="B1064" s="20" t="s">
        <v>588</v>
      </c>
      <c r="C1064" s="20" t="s">
        <v>233</v>
      </c>
      <c r="D1064" s="20" t="s">
        <v>912</v>
      </c>
      <c r="E1064" s="20" t="s">
        <v>387</v>
      </c>
      <c r="F1064" s="20" t="s">
        <v>175</v>
      </c>
      <c r="G1064" s="20" t="s">
        <v>218</v>
      </c>
      <c r="H1064" s="21">
        <v>140.9</v>
      </c>
      <c r="I1064" s="21">
        <v>1307.75</v>
      </c>
    </row>
    <row r="1065" spans="1:9" x14ac:dyDescent="0.45">
      <c r="B1065" s="20" t="s">
        <v>588</v>
      </c>
      <c r="C1065" s="20" t="s">
        <v>233</v>
      </c>
      <c r="D1065" s="20" t="s">
        <v>747</v>
      </c>
      <c r="E1065" s="20" t="s">
        <v>335</v>
      </c>
      <c r="F1065" s="20" t="s">
        <v>407</v>
      </c>
      <c r="G1065" s="20" t="s">
        <v>218</v>
      </c>
      <c r="H1065" s="21">
        <v>510</v>
      </c>
      <c r="I1065" s="21">
        <v>1817.75</v>
      </c>
    </row>
    <row r="1066" spans="1:9" x14ac:dyDescent="0.45">
      <c r="B1066" s="20" t="s">
        <v>484</v>
      </c>
      <c r="C1066" s="20" t="s">
        <v>233</v>
      </c>
      <c r="D1066" s="20" t="s">
        <v>748</v>
      </c>
      <c r="E1066" s="20" t="s">
        <v>387</v>
      </c>
      <c r="F1066" s="20" t="s">
        <v>964</v>
      </c>
      <c r="G1066" s="20" t="s">
        <v>218</v>
      </c>
      <c r="H1066" s="21">
        <v>142.43</v>
      </c>
      <c r="I1066" s="21">
        <v>1960.18</v>
      </c>
    </row>
    <row r="1067" spans="1:9" x14ac:dyDescent="0.45">
      <c r="B1067" s="20" t="s">
        <v>484</v>
      </c>
      <c r="C1067" s="20" t="s">
        <v>233</v>
      </c>
      <c r="D1067" s="20" t="s">
        <v>750</v>
      </c>
      <c r="E1067" s="20" t="s">
        <v>335</v>
      </c>
      <c r="F1067" s="20" t="s">
        <v>965</v>
      </c>
      <c r="G1067" s="20" t="s">
        <v>218</v>
      </c>
      <c r="H1067" s="21">
        <v>920</v>
      </c>
      <c r="I1067" s="21">
        <v>2880.1800000000003</v>
      </c>
    </row>
    <row r="1068" spans="1:9" x14ac:dyDescent="0.45">
      <c r="B1068" s="20" t="s">
        <v>247</v>
      </c>
      <c r="C1068" s="20" t="s">
        <v>233</v>
      </c>
      <c r="D1068" s="20" t="s">
        <v>386</v>
      </c>
      <c r="E1068" s="20" t="s">
        <v>387</v>
      </c>
      <c r="F1068" s="20" t="s">
        <v>175</v>
      </c>
      <c r="G1068" s="20" t="s">
        <v>218</v>
      </c>
      <c r="H1068" s="21">
        <v>184.97</v>
      </c>
      <c r="I1068" s="21">
        <v>3065.15</v>
      </c>
    </row>
    <row r="1069" spans="1:9" x14ac:dyDescent="0.45">
      <c r="B1069" s="20" t="s">
        <v>247</v>
      </c>
      <c r="C1069" s="20" t="s">
        <v>233</v>
      </c>
      <c r="D1069" s="20" t="s">
        <v>334</v>
      </c>
      <c r="E1069" s="20" t="s">
        <v>335</v>
      </c>
      <c r="F1069" s="20" t="s">
        <v>407</v>
      </c>
      <c r="G1069" s="20" t="s">
        <v>218</v>
      </c>
      <c r="H1069" s="21">
        <v>970</v>
      </c>
      <c r="I1069" s="21">
        <v>4035.15</v>
      </c>
    </row>
    <row r="1070" spans="1:9" x14ac:dyDescent="0.45">
      <c r="A1070" s="14" t="s">
        <v>337</v>
      </c>
      <c r="H1070" s="22">
        <f>H1061+H1062+H1063+H1064+H1065+H1066+H1067+H1068+H1069</f>
        <v>4035.15</v>
      </c>
    </row>
    <row r="1071" spans="1:9" x14ac:dyDescent="0.45">
      <c r="A1071" s="7" t="s">
        <v>159</v>
      </c>
    </row>
    <row r="1072" spans="1:9" x14ac:dyDescent="0.45">
      <c r="B1072" s="20" t="s">
        <v>435</v>
      </c>
      <c r="C1072" s="20" t="s">
        <v>233</v>
      </c>
      <c r="D1072" s="20" t="s">
        <v>752</v>
      </c>
      <c r="E1072" s="20" t="s">
        <v>342</v>
      </c>
      <c r="F1072" s="20" t="s">
        <v>175</v>
      </c>
      <c r="G1072" s="20" t="s">
        <v>218</v>
      </c>
      <c r="H1072" s="21">
        <v>74.87</v>
      </c>
      <c r="I1072" s="21">
        <v>74.87</v>
      </c>
    </row>
    <row r="1073" spans="2:9" x14ac:dyDescent="0.45">
      <c r="B1073" s="20" t="s">
        <v>435</v>
      </c>
      <c r="C1073" s="20" t="s">
        <v>233</v>
      </c>
      <c r="D1073" s="20" t="s">
        <v>752</v>
      </c>
      <c r="E1073" s="20" t="s">
        <v>342</v>
      </c>
      <c r="F1073" s="20" t="s">
        <v>175</v>
      </c>
      <c r="G1073" s="20" t="s">
        <v>218</v>
      </c>
      <c r="H1073" s="21">
        <v>19.78</v>
      </c>
      <c r="I1073" s="21">
        <v>94.65</v>
      </c>
    </row>
    <row r="1074" spans="2:9" x14ac:dyDescent="0.45">
      <c r="B1074" s="20" t="s">
        <v>464</v>
      </c>
      <c r="C1074" s="20" t="s">
        <v>233</v>
      </c>
      <c r="D1074" s="20" t="s">
        <v>234</v>
      </c>
      <c r="E1074" s="20" t="s">
        <v>214</v>
      </c>
      <c r="F1074" s="20" t="s">
        <v>645</v>
      </c>
      <c r="G1074" s="20" t="s">
        <v>218</v>
      </c>
      <c r="H1074" s="21">
        <v>312</v>
      </c>
      <c r="I1074" s="21">
        <v>406.65</v>
      </c>
    </row>
    <row r="1075" spans="2:9" x14ac:dyDescent="0.45">
      <c r="B1075" s="20" t="s">
        <v>439</v>
      </c>
      <c r="C1075" s="20" t="s">
        <v>233</v>
      </c>
      <c r="D1075" s="20" t="s">
        <v>756</v>
      </c>
      <c r="E1075" s="20" t="s">
        <v>339</v>
      </c>
      <c r="F1075" s="20" t="s">
        <v>409</v>
      </c>
      <c r="G1075" s="20" t="s">
        <v>218</v>
      </c>
      <c r="H1075" s="20"/>
      <c r="I1075" s="21">
        <v>406.65</v>
      </c>
    </row>
    <row r="1076" spans="2:9" x14ac:dyDescent="0.45">
      <c r="B1076" s="20" t="s">
        <v>439</v>
      </c>
      <c r="C1076" s="20" t="s">
        <v>233</v>
      </c>
      <c r="D1076" s="20" t="s">
        <v>757</v>
      </c>
      <c r="E1076" s="20" t="s">
        <v>342</v>
      </c>
      <c r="F1076" s="20" t="s">
        <v>175</v>
      </c>
      <c r="G1076" s="20" t="s">
        <v>218</v>
      </c>
      <c r="H1076" s="23">
        <v>0</v>
      </c>
      <c r="I1076" s="21">
        <v>406.65</v>
      </c>
    </row>
    <row r="1077" spans="2:9" x14ac:dyDescent="0.45">
      <c r="B1077" s="20" t="s">
        <v>439</v>
      </c>
      <c r="C1077" s="20" t="s">
        <v>233</v>
      </c>
      <c r="D1077" s="20" t="s">
        <v>757</v>
      </c>
      <c r="E1077" s="20" t="s">
        <v>342</v>
      </c>
      <c r="F1077" s="20" t="s">
        <v>175</v>
      </c>
      <c r="G1077" s="20" t="s">
        <v>218</v>
      </c>
      <c r="H1077" s="23">
        <v>0</v>
      </c>
      <c r="I1077" s="21">
        <v>406.65</v>
      </c>
    </row>
    <row r="1078" spans="2:9" x14ac:dyDescent="0.45">
      <c r="B1078" s="20" t="s">
        <v>439</v>
      </c>
      <c r="C1078" s="20" t="s">
        <v>233</v>
      </c>
      <c r="D1078" s="20" t="s">
        <v>966</v>
      </c>
      <c r="E1078" s="20" t="s">
        <v>967</v>
      </c>
      <c r="F1078" s="20" t="s">
        <v>968</v>
      </c>
      <c r="G1078" s="20" t="s">
        <v>218</v>
      </c>
      <c r="H1078" s="21">
        <v>225</v>
      </c>
      <c r="I1078" s="21">
        <v>631.65</v>
      </c>
    </row>
    <row r="1079" spans="2:9" x14ac:dyDescent="0.45">
      <c r="B1079" s="20" t="s">
        <v>585</v>
      </c>
      <c r="C1079" s="20" t="s">
        <v>233</v>
      </c>
      <c r="D1079" s="20" t="s">
        <v>759</v>
      </c>
      <c r="E1079" s="20" t="s">
        <v>339</v>
      </c>
      <c r="F1079" s="20" t="s">
        <v>409</v>
      </c>
      <c r="G1079" s="20" t="s">
        <v>218</v>
      </c>
      <c r="H1079" s="20"/>
      <c r="I1079" s="21">
        <v>631.65</v>
      </c>
    </row>
    <row r="1080" spans="2:9" x14ac:dyDescent="0.45">
      <c r="B1080" s="20" t="s">
        <v>585</v>
      </c>
      <c r="C1080" s="20" t="s">
        <v>233</v>
      </c>
      <c r="D1080" s="20" t="s">
        <v>760</v>
      </c>
      <c r="E1080" s="20" t="s">
        <v>342</v>
      </c>
      <c r="F1080" s="20" t="s">
        <v>175</v>
      </c>
      <c r="G1080" s="20" t="s">
        <v>218</v>
      </c>
      <c r="H1080" s="21">
        <v>20.74</v>
      </c>
      <c r="I1080" s="21">
        <v>652.39</v>
      </c>
    </row>
    <row r="1081" spans="2:9" x14ac:dyDescent="0.45">
      <c r="B1081" s="20" t="s">
        <v>566</v>
      </c>
      <c r="C1081" s="20" t="s">
        <v>233</v>
      </c>
      <c r="D1081" s="20" t="s">
        <v>284</v>
      </c>
      <c r="E1081" s="20" t="s">
        <v>239</v>
      </c>
      <c r="F1081" s="20" t="s">
        <v>969</v>
      </c>
      <c r="G1081" s="20" t="s">
        <v>218</v>
      </c>
      <c r="H1081" s="21">
        <v>42.18</v>
      </c>
      <c r="I1081" s="21">
        <v>694.56999999999994</v>
      </c>
    </row>
    <row r="1082" spans="2:9" x14ac:dyDescent="0.45">
      <c r="B1082" s="20" t="s">
        <v>588</v>
      </c>
      <c r="C1082" s="20" t="s">
        <v>233</v>
      </c>
      <c r="D1082" s="20" t="s">
        <v>761</v>
      </c>
      <c r="E1082" s="20" t="s">
        <v>342</v>
      </c>
      <c r="F1082" s="20" t="s">
        <v>175</v>
      </c>
      <c r="G1082" s="20" t="s">
        <v>218</v>
      </c>
      <c r="H1082" s="21">
        <v>70</v>
      </c>
      <c r="I1082" s="21">
        <v>764.56999999999994</v>
      </c>
    </row>
    <row r="1083" spans="2:9" x14ac:dyDescent="0.45">
      <c r="B1083" s="20" t="s">
        <v>588</v>
      </c>
      <c r="C1083" s="20" t="s">
        <v>233</v>
      </c>
      <c r="D1083" s="20" t="s">
        <v>761</v>
      </c>
      <c r="E1083" s="20" t="s">
        <v>342</v>
      </c>
      <c r="F1083" s="20" t="s">
        <v>175</v>
      </c>
      <c r="G1083" s="20" t="s">
        <v>218</v>
      </c>
      <c r="H1083" s="21">
        <v>19.2</v>
      </c>
      <c r="I1083" s="21">
        <v>783.77</v>
      </c>
    </row>
    <row r="1084" spans="2:9" x14ac:dyDescent="0.45">
      <c r="B1084" s="20" t="s">
        <v>484</v>
      </c>
      <c r="C1084" s="20" t="s">
        <v>233</v>
      </c>
      <c r="D1084" s="20" t="s">
        <v>762</v>
      </c>
      <c r="E1084" s="20" t="s">
        <v>339</v>
      </c>
      <c r="F1084" s="20" t="s">
        <v>409</v>
      </c>
      <c r="G1084" s="20" t="s">
        <v>218</v>
      </c>
      <c r="H1084" s="20"/>
      <c r="I1084" s="21">
        <v>783.77</v>
      </c>
    </row>
    <row r="1085" spans="2:9" x14ac:dyDescent="0.45">
      <c r="B1085" s="20" t="s">
        <v>484</v>
      </c>
      <c r="C1085" s="20" t="s">
        <v>233</v>
      </c>
      <c r="D1085" s="20" t="s">
        <v>970</v>
      </c>
      <c r="E1085" s="20" t="s">
        <v>967</v>
      </c>
      <c r="F1085" s="20" t="s">
        <v>968</v>
      </c>
      <c r="G1085" s="20" t="s">
        <v>218</v>
      </c>
      <c r="H1085" s="21">
        <v>275.89999999999998</v>
      </c>
      <c r="I1085" s="21">
        <v>1059.67</v>
      </c>
    </row>
    <row r="1086" spans="2:9" x14ac:dyDescent="0.45">
      <c r="B1086" s="20" t="s">
        <v>484</v>
      </c>
      <c r="C1086" s="20" t="s">
        <v>233</v>
      </c>
      <c r="D1086" s="20" t="s">
        <v>763</v>
      </c>
      <c r="E1086" s="20" t="s">
        <v>342</v>
      </c>
      <c r="F1086" s="20" t="s">
        <v>410</v>
      </c>
      <c r="G1086" s="20" t="s">
        <v>218</v>
      </c>
      <c r="H1086" s="21">
        <v>91.26</v>
      </c>
      <c r="I1086" s="21">
        <v>1150.93</v>
      </c>
    </row>
    <row r="1087" spans="2:9" x14ac:dyDescent="0.45">
      <c r="B1087" s="20" t="s">
        <v>484</v>
      </c>
      <c r="C1087" s="20" t="s">
        <v>233</v>
      </c>
      <c r="D1087" s="20" t="s">
        <v>764</v>
      </c>
      <c r="E1087" s="20" t="s">
        <v>765</v>
      </c>
      <c r="F1087" s="20" t="s">
        <v>971</v>
      </c>
      <c r="G1087" s="20" t="s">
        <v>218</v>
      </c>
      <c r="H1087" s="21">
        <v>101.95</v>
      </c>
      <c r="I1087" s="21">
        <v>1252.8800000000001</v>
      </c>
    </row>
    <row r="1088" spans="2:9" x14ac:dyDescent="0.45">
      <c r="B1088" s="20" t="s">
        <v>484</v>
      </c>
      <c r="C1088" s="20" t="s">
        <v>233</v>
      </c>
      <c r="D1088" s="20" t="s">
        <v>972</v>
      </c>
      <c r="E1088" s="20" t="s">
        <v>973</v>
      </c>
      <c r="F1088" s="20" t="s">
        <v>974</v>
      </c>
      <c r="G1088" s="20" t="s">
        <v>218</v>
      </c>
      <c r="H1088" s="21">
        <v>398</v>
      </c>
      <c r="I1088" s="21">
        <v>1650.88</v>
      </c>
    </row>
    <row r="1089" spans="1:9" x14ac:dyDescent="0.45">
      <c r="B1089" s="20" t="s">
        <v>484</v>
      </c>
      <c r="C1089" s="20" t="s">
        <v>233</v>
      </c>
      <c r="D1089" s="20" t="s">
        <v>975</v>
      </c>
      <c r="E1089" s="20" t="s">
        <v>976</v>
      </c>
      <c r="F1089" s="20" t="s">
        <v>977</v>
      </c>
      <c r="G1089" s="20" t="s">
        <v>218</v>
      </c>
      <c r="H1089" s="21">
        <v>275</v>
      </c>
      <c r="I1089" s="21">
        <v>1925.88</v>
      </c>
    </row>
    <row r="1090" spans="1:9" x14ac:dyDescent="0.45">
      <c r="B1090" s="20" t="s">
        <v>232</v>
      </c>
      <c r="C1090" s="20" t="s">
        <v>233</v>
      </c>
      <c r="D1090" s="20" t="s">
        <v>234</v>
      </c>
      <c r="E1090" s="20" t="s">
        <v>235</v>
      </c>
      <c r="F1090" s="20" t="s">
        <v>408</v>
      </c>
      <c r="G1090" s="20" t="s">
        <v>218</v>
      </c>
      <c r="H1090" s="21">
        <v>31.63</v>
      </c>
      <c r="I1090" s="21">
        <v>1957.5100000000002</v>
      </c>
    </row>
    <row r="1091" spans="1:9" x14ac:dyDescent="0.45">
      <c r="B1091" s="20" t="s">
        <v>247</v>
      </c>
      <c r="C1091" s="20" t="s">
        <v>233</v>
      </c>
      <c r="D1091" s="20" t="s">
        <v>338</v>
      </c>
      <c r="E1091" s="20" t="s">
        <v>339</v>
      </c>
      <c r="F1091" s="20" t="s">
        <v>409</v>
      </c>
      <c r="G1091" s="20" t="s">
        <v>218</v>
      </c>
      <c r="H1091" s="20"/>
      <c r="I1091" s="21">
        <v>1957.5100000000002</v>
      </c>
    </row>
    <row r="1092" spans="1:9" x14ac:dyDescent="0.45">
      <c r="B1092" s="20" t="s">
        <v>247</v>
      </c>
      <c r="C1092" s="20" t="s">
        <v>233</v>
      </c>
      <c r="D1092" s="20" t="s">
        <v>341</v>
      </c>
      <c r="E1092" s="20" t="s">
        <v>342</v>
      </c>
      <c r="F1092" s="20" t="s">
        <v>410</v>
      </c>
      <c r="G1092" s="20" t="s">
        <v>218</v>
      </c>
      <c r="H1092" s="21">
        <v>45.61</v>
      </c>
      <c r="I1092" s="21">
        <v>2003.1200000000001</v>
      </c>
    </row>
    <row r="1093" spans="1:9" x14ac:dyDescent="0.45">
      <c r="A1093" s="14" t="s">
        <v>411</v>
      </c>
      <c r="H1093" s="22">
        <f>H1072+H1073+H1074+H1075+H1076+H1077+H1078+H1079+H1080+H1081+H1082+H1083+H1084+H1085+H1086+H1087+H1088+H1089+H1090+H1091+H1092</f>
        <v>2003.1200000000001</v>
      </c>
    </row>
    <row r="1094" spans="1:9" x14ac:dyDescent="0.45">
      <c r="A1094" s="7" t="s">
        <v>160</v>
      </c>
    </row>
    <row r="1095" spans="1:9" x14ac:dyDescent="0.45">
      <c r="B1095" s="20" t="s">
        <v>555</v>
      </c>
      <c r="C1095" s="20" t="s">
        <v>233</v>
      </c>
      <c r="D1095" s="20" t="s">
        <v>284</v>
      </c>
      <c r="E1095" s="20" t="s">
        <v>369</v>
      </c>
      <c r="F1095" s="20" t="s">
        <v>262</v>
      </c>
      <c r="G1095" s="20" t="s">
        <v>218</v>
      </c>
      <c r="H1095" s="21">
        <v>260.81</v>
      </c>
      <c r="I1095" s="21">
        <v>260.81</v>
      </c>
    </row>
    <row r="1096" spans="1:9" x14ac:dyDescent="0.45">
      <c r="B1096" s="20" t="s">
        <v>555</v>
      </c>
      <c r="C1096" s="20" t="s">
        <v>233</v>
      </c>
      <c r="D1096" s="20" t="s">
        <v>284</v>
      </c>
      <c r="E1096" s="20" t="s">
        <v>369</v>
      </c>
      <c r="F1096" s="20" t="s">
        <v>237</v>
      </c>
      <c r="G1096" s="20" t="s">
        <v>218</v>
      </c>
      <c r="H1096" s="21">
        <v>-3.78</v>
      </c>
      <c r="I1096" s="21">
        <v>257.03000000000003</v>
      </c>
    </row>
    <row r="1097" spans="1:9" x14ac:dyDescent="0.45">
      <c r="B1097" s="20" t="s">
        <v>555</v>
      </c>
      <c r="C1097" s="20" t="s">
        <v>233</v>
      </c>
      <c r="D1097" s="20" t="s">
        <v>284</v>
      </c>
      <c r="E1097" s="20" t="s">
        <v>369</v>
      </c>
      <c r="F1097" s="20" t="s">
        <v>244</v>
      </c>
      <c r="G1097" s="20" t="s">
        <v>218</v>
      </c>
      <c r="H1097" s="21">
        <v>-16.170000000000002</v>
      </c>
      <c r="I1097" s="21">
        <v>240.86</v>
      </c>
    </row>
    <row r="1098" spans="1:9" x14ac:dyDescent="0.45">
      <c r="B1098" s="20" t="s">
        <v>555</v>
      </c>
      <c r="C1098" s="20" t="s">
        <v>233</v>
      </c>
      <c r="D1098" s="20" t="s">
        <v>284</v>
      </c>
      <c r="E1098" s="20" t="s">
        <v>369</v>
      </c>
      <c r="F1098" s="20" t="s">
        <v>978</v>
      </c>
      <c r="G1098" s="20" t="s">
        <v>218</v>
      </c>
      <c r="H1098" s="21">
        <v>-260.81</v>
      </c>
      <c r="I1098" s="21">
        <v>-19.949999999999989</v>
      </c>
    </row>
    <row r="1099" spans="1:9" x14ac:dyDescent="0.45">
      <c r="B1099" s="20" t="s">
        <v>435</v>
      </c>
      <c r="C1099" s="20" t="s">
        <v>233</v>
      </c>
      <c r="D1099" s="20" t="s">
        <v>234</v>
      </c>
      <c r="E1099" s="20" t="s">
        <v>245</v>
      </c>
      <c r="F1099" s="20" t="s">
        <v>979</v>
      </c>
      <c r="G1099" s="20" t="s">
        <v>199</v>
      </c>
      <c r="H1099" s="21">
        <v>36.17</v>
      </c>
      <c r="I1099" s="21">
        <v>16.220000000000013</v>
      </c>
    </row>
    <row r="1100" spans="1:9" x14ac:dyDescent="0.45">
      <c r="B1100" s="20" t="s">
        <v>465</v>
      </c>
      <c r="C1100" s="20" t="s">
        <v>233</v>
      </c>
      <c r="D1100" s="20" t="s">
        <v>862</v>
      </c>
      <c r="E1100" s="20" t="s">
        <v>369</v>
      </c>
      <c r="F1100" s="20" t="s">
        <v>262</v>
      </c>
      <c r="G1100" s="20" t="s">
        <v>218</v>
      </c>
      <c r="H1100" s="21">
        <v>268.63</v>
      </c>
      <c r="I1100" s="21">
        <v>284.85000000000002</v>
      </c>
    </row>
    <row r="1101" spans="1:9" x14ac:dyDescent="0.45">
      <c r="B1101" s="20" t="s">
        <v>465</v>
      </c>
      <c r="C1101" s="20" t="s">
        <v>233</v>
      </c>
      <c r="D1101" s="20" t="s">
        <v>862</v>
      </c>
      <c r="E1101" s="20" t="s">
        <v>369</v>
      </c>
      <c r="F1101" s="20" t="s">
        <v>237</v>
      </c>
      <c r="G1101" s="20" t="s">
        <v>218</v>
      </c>
      <c r="H1101" s="21">
        <v>-3.9</v>
      </c>
      <c r="I1101" s="21">
        <v>280.95000000000005</v>
      </c>
    </row>
    <row r="1102" spans="1:9" x14ac:dyDescent="0.45">
      <c r="B1102" s="20" t="s">
        <v>465</v>
      </c>
      <c r="C1102" s="20" t="s">
        <v>233</v>
      </c>
      <c r="D1102" s="20" t="s">
        <v>862</v>
      </c>
      <c r="E1102" s="20" t="s">
        <v>369</v>
      </c>
      <c r="F1102" s="20" t="s">
        <v>244</v>
      </c>
      <c r="G1102" s="20" t="s">
        <v>218</v>
      </c>
      <c r="H1102" s="21">
        <v>-16.66</v>
      </c>
      <c r="I1102" s="21">
        <v>264.29000000000002</v>
      </c>
    </row>
    <row r="1103" spans="1:9" x14ac:dyDescent="0.45">
      <c r="B1103" s="20" t="s">
        <v>564</v>
      </c>
      <c r="C1103" s="20" t="s">
        <v>233</v>
      </c>
      <c r="D1103" s="20" t="s">
        <v>234</v>
      </c>
      <c r="E1103" s="20" t="s">
        <v>245</v>
      </c>
      <c r="F1103" s="20" t="s">
        <v>979</v>
      </c>
      <c r="G1103" s="20" t="s">
        <v>199</v>
      </c>
      <c r="H1103" s="21">
        <v>36.17</v>
      </c>
      <c r="I1103" s="21">
        <v>300.46000000000004</v>
      </c>
    </row>
    <row r="1104" spans="1:9" x14ac:dyDescent="0.45">
      <c r="B1104" s="20" t="s">
        <v>574</v>
      </c>
      <c r="C1104" s="20" t="s">
        <v>233</v>
      </c>
      <c r="D1104" s="20" t="s">
        <v>295</v>
      </c>
      <c r="E1104" s="20" t="s">
        <v>369</v>
      </c>
      <c r="F1104" s="20" t="s">
        <v>262</v>
      </c>
      <c r="G1104" s="20" t="s">
        <v>218</v>
      </c>
      <c r="H1104" s="21">
        <v>268.63</v>
      </c>
      <c r="I1104" s="21">
        <v>569.09</v>
      </c>
    </row>
    <row r="1105" spans="2:9" x14ac:dyDescent="0.45">
      <c r="B1105" s="20" t="s">
        <v>574</v>
      </c>
      <c r="C1105" s="20" t="s">
        <v>233</v>
      </c>
      <c r="D1105" s="20" t="s">
        <v>295</v>
      </c>
      <c r="E1105" s="20" t="s">
        <v>369</v>
      </c>
      <c r="F1105" s="20" t="s">
        <v>237</v>
      </c>
      <c r="G1105" s="20" t="s">
        <v>218</v>
      </c>
      <c r="H1105" s="21">
        <v>-3.9</v>
      </c>
      <c r="I1105" s="21">
        <v>565.19000000000005</v>
      </c>
    </row>
    <row r="1106" spans="2:9" x14ac:dyDescent="0.45">
      <c r="B1106" s="20" t="s">
        <v>574</v>
      </c>
      <c r="C1106" s="20" t="s">
        <v>233</v>
      </c>
      <c r="D1106" s="20" t="s">
        <v>295</v>
      </c>
      <c r="E1106" s="20" t="s">
        <v>369</v>
      </c>
      <c r="F1106" s="20" t="s">
        <v>244</v>
      </c>
      <c r="G1106" s="20" t="s">
        <v>218</v>
      </c>
      <c r="H1106" s="21">
        <v>-16.66</v>
      </c>
      <c r="I1106" s="21">
        <v>548.53000000000009</v>
      </c>
    </row>
    <row r="1107" spans="2:9" x14ac:dyDescent="0.45">
      <c r="B1107" s="20" t="s">
        <v>565</v>
      </c>
      <c r="C1107" s="20" t="s">
        <v>233</v>
      </c>
      <c r="D1107" s="20" t="s">
        <v>234</v>
      </c>
      <c r="E1107" s="20" t="s">
        <v>245</v>
      </c>
      <c r="F1107" s="20" t="s">
        <v>412</v>
      </c>
      <c r="G1107" s="20" t="s">
        <v>199</v>
      </c>
      <c r="H1107" s="21">
        <v>39.9</v>
      </c>
      <c r="I1107" s="21">
        <v>588.43000000000006</v>
      </c>
    </row>
    <row r="1108" spans="2:9" x14ac:dyDescent="0.45">
      <c r="B1108" s="20" t="s">
        <v>566</v>
      </c>
      <c r="C1108" s="20" t="s">
        <v>233</v>
      </c>
      <c r="D1108" s="20" t="s">
        <v>284</v>
      </c>
      <c r="E1108" s="20" t="s">
        <v>369</v>
      </c>
      <c r="F1108" s="20" t="s">
        <v>262</v>
      </c>
      <c r="G1108" s="20" t="s">
        <v>218</v>
      </c>
      <c r="H1108" s="21">
        <v>268.63</v>
      </c>
      <c r="I1108" s="21">
        <v>857.06000000000006</v>
      </c>
    </row>
    <row r="1109" spans="2:9" x14ac:dyDescent="0.45">
      <c r="B1109" s="20" t="s">
        <v>566</v>
      </c>
      <c r="C1109" s="20" t="s">
        <v>233</v>
      </c>
      <c r="D1109" s="20" t="s">
        <v>284</v>
      </c>
      <c r="E1109" s="20" t="s">
        <v>369</v>
      </c>
      <c r="F1109" s="20" t="s">
        <v>237</v>
      </c>
      <c r="G1109" s="20" t="s">
        <v>218</v>
      </c>
      <c r="H1109" s="21">
        <v>-3.9</v>
      </c>
      <c r="I1109" s="21">
        <v>853.16000000000008</v>
      </c>
    </row>
    <row r="1110" spans="2:9" x14ac:dyDescent="0.45">
      <c r="B1110" s="20" t="s">
        <v>566</v>
      </c>
      <c r="C1110" s="20" t="s">
        <v>233</v>
      </c>
      <c r="D1110" s="20" t="s">
        <v>284</v>
      </c>
      <c r="E1110" s="20" t="s">
        <v>369</v>
      </c>
      <c r="F1110" s="20" t="s">
        <v>244</v>
      </c>
      <c r="G1110" s="20" t="s">
        <v>218</v>
      </c>
      <c r="H1110" s="21">
        <v>-16.170000000000002</v>
      </c>
      <c r="I1110" s="21">
        <v>836.99000000000012</v>
      </c>
    </row>
    <row r="1111" spans="2:9" x14ac:dyDescent="0.45">
      <c r="B1111" s="20" t="s">
        <v>570</v>
      </c>
      <c r="C1111" s="20" t="s">
        <v>233</v>
      </c>
      <c r="D1111" s="20" t="s">
        <v>234</v>
      </c>
      <c r="E1111" s="20" t="s">
        <v>245</v>
      </c>
      <c r="F1111" s="20" t="s">
        <v>979</v>
      </c>
      <c r="G1111" s="20" t="s">
        <v>199</v>
      </c>
      <c r="H1111" s="21">
        <v>36.17</v>
      </c>
      <c r="I1111" s="21">
        <v>873.16000000000008</v>
      </c>
    </row>
    <row r="1112" spans="2:9" x14ac:dyDescent="0.45">
      <c r="B1112" s="20" t="s">
        <v>577</v>
      </c>
      <c r="C1112" s="20" t="s">
        <v>233</v>
      </c>
      <c r="D1112" s="20" t="s">
        <v>284</v>
      </c>
      <c r="E1112" s="20" t="s">
        <v>369</v>
      </c>
      <c r="F1112" s="20" t="s">
        <v>262</v>
      </c>
      <c r="G1112" s="20" t="s">
        <v>218</v>
      </c>
      <c r="H1112" s="21">
        <v>268.63</v>
      </c>
      <c r="I1112" s="21">
        <v>1141.79</v>
      </c>
    </row>
    <row r="1113" spans="2:9" x14ac:dyDescent="0.45">
      <c r="B1113" s="20" t="s">
        <v>577</v>
      </c>
      <c r="C1113" s="20" t="s">
        <v>233</v>
      </c>
      <c r="D1113" s="20" t="s">
        <v>284</v>
      </c>
      <c r="E1113" s="20" t="s">
        <v>369</v>
      </c>
      <c r="F1113" s="20" t="s">
        <v>237</v>
      </c>
      <c r="G1113" s="20" t="s">
        <v>218</v>
      </c>
      <c r="H1113" s="21">
        <v>-3.78</v>
      </c>
      <c r="I1113" s="21">
        <v>1138.01</v>
      </c>
    </row>
    <row r="1114" spans="2:9" x14ac:dyDescent="0.45">
      <c r="B1114" s="20" t="s">
        <v>577</v>
      </c>
      <c r="C1114" s="20" t="s">
        <v>233</v>
      </c>
      <c r="D1114" s="20" t="s">
        <v>284</v>
      </c>
      <c r="E1114" s="20" t="s">
        <v>369</v>
      </c>
      <c r="F1114" s="20" t="s">
        <v>244</v>
      </c>
      <c r="G1114" s="20" t="s">
        <v>218</v>
      </c>
      <c r="H1114" s="21">
        <v>-16.170000000000002</v>
      </c>
      <c r="I1114" s="21">
        <v>1121.8399999999999</v>
      </c>
    </row>
    <row r="1115" spans="2:9" x14ac:dyDescent="0.45">
      <c r="B1115" s="20" t="s">
        <v>571</v>
      </c>
      <c r="C1115" s="20" t="s">
        <v>233</v>
      </c>
      <c r="D1115" s="20" t="s">
        <v>234</v>
      </c>
      <c r="E1115" s="20" t="s">
        <v>245</v>
      </c>
      <c r="F1115" s="20" t="s">
        <v>412</v>
      </c>
      <c r="G1115" s="20" t="s">
        <v>199</v>
      </c>
      <c r="H1115" s="21">
        <v>39.9</v>
      </c>
      <c r="I1115" s="21">
        <v>1161.74</v>
      </c>
    </row>
    <row r="1116" spans="2:9" x14ac:dyDescent="0.45">
      <c r="B1116" s="20" t="s">
        <v>579</v>
      </c>
      <c r="C1116" s="20" t="s">
        <v>233</v>
      </c>
      <c r="D1116" s="20" t="s">
        <v>234</v>
      </c>
      <c r="E1116" s="20" t="s">
        <v>369</v>
      </c>
      <c r="F1116" s="20" t="s">
        <v>262</v>
      </c>
      <c r="G1116" s="20" t="s">
        <v>218</v>
      </c>
      <c r="H1116" s="21">
        <v>268.63</v>
      </c>
      <c r="I1116" s="21">
        <v>1430.37</v>
      </c>
    </row>
    <row r="1117" spans="2:9" x14ac:dyDescent="0.45">
      <c r="B1117" s="20" t="s">
        <v>579</v>
      </c>
      <c r="C1117" s="20" t="s">
        <v>233</v>
      </c>
      <c r="D1117" s="20" t="s">
        <v>234</v>
      </c>
      <c r="E1117" s="20" t="s">
        <v>369</v>
      </c>
      <c r="F1117" s="20" t="s">
        <v>237</v>
      </c>
      <c r="G1117" s="20" t="s">
        <v>218</v>
      </c>
      <c r="H1117" s="21">
        <v>-3.9</v>
      </c>
      <c r="I1117" s="21">
        <v>1426.4699999999998</v>
      </c>
    </row>
    <row r="1118" spans="2:9" x14ac:dyDescent="0.45">
      <c r="B1118" s="20" t="s">
        <v>579</v>
      </c>
      <c r="C1118" s="20" t="s">
        <v>233</v>
      </c>
      <c r="D1118" s="20" t="s">
        <v>234</v>
      </c>
      <c r="E1118" s="20" t="s">
        <v>369</v>
      </c>
      <c r="F1118" s="20" t="s">
        <v>244</v>
      </c>
      <c r="G1118" s="20" t="s">
        <v>218</v>
      </c>
      <c r="H1118" s="21">
        <v>-16.170000000000002</v>
      </c>
      <c r="I1118" s="21">
        <v>1410.2999999999997</v>
      </c>
    </row>
    <row r="1119" spans="2:9" x14ac:dyDescent="0.45">
      <c r="B1119" s="20" t="s">
        <v>232</v>
      </c>
      <c r="C1119" s="20" t="s">
        <v>233</v>
      </c>
      <c r="D1119" s="20" t="s">
        <v>234</v>
      </c>
      <c r="E1119" s="20" t="s">
        <v>369</v>
      </c>
      <c r="F1119" s="20" t="s">
        <v>262</v>
      </c>
      <c r="G1119" s="20" t="s">
        <v>218</v>
      </c>
      <c r="H1119" s="21">
        <v>268.63</v>
      </c>
      <c r="I1119" s="21">
        <v>1678.9299999999998</v>
      </c>
    </row>
    <row r="1120" spans="2:9" x14ac:dyDescent="0.45">
      <c r="B1120" s="20" t="s">
        <v>232</v>
      </c>
      <c r="C1120" s="20" t="s">
        <v>233</v>
      </c>
      <c r="D1120" s="20" t="s">
        <v>234</v>
      </c>
      <c r="E1120" s="20" t="s">
        <v>369</v>
      </c>
      <c r="F1120" s="20" t="s">
        <v>237</v>
      </c>
      <c r="G1120" s="20" t="s">
        <v>218</v>
      </c>
      <c r="H1120" s="21">
        <v>-3.78</v>
      </c>
      <c r="I1120" s="21">
        <v>1675.1499999999999</v>
      </c>
    </row>
    <row r="1121" spans="1:9" x14ac:dyDescent="0.45">
      <c r="B1121" s="20" t="s">
        <v>232</v>
      </c>
      <c r="C1121" s="20" t="s">
        <v>233</v>
      </c>
      <c r="D1121" s="20" t="s">
        <v>234</v>
      </c>
      <c r="E1121" s="20" t="s">
        <v>369</v>
      </c>
      <c r="F1121" s="20" t="s">
        <v>244</v>
      </c>
      <c r="G1121" s="20" t="s">
        <v>218</v>
      </c>
      <c r="H1121" s="21">
        <v>-16.170000000000002</v>
      </c>
      <c r="I1121" s="21">
        <v>1658.9799999999998</v>
      </c>
    </row>
    <row r="1122" spans="1:9" x14ac:dyDescent="0.45">
      <c r="B1122" s="20" t="s">
        <v>232</v>
      </c>
      <c r="C1122" s="20" t="s">
        <v>233</v>
      </c>
      <c r="D1122" s="20" t="s">
        <v>234</v>
      </c>
      <c r="E1122" s="20" t="s">
        <v>245</v>
      </c>
      <c r="F1122" s="20" t="s">
        <v>412</v>
      </c>
      <c r="G1122" s="20" t="s">
        <v>199</v>
      </c>
      <c r="H1122" s="21">
        <v>39.9</v>
      </c>
      <c r="I1122" s="21">
        <v>1698.8799999999999</v>
      </c>
    </row>
    <row r="1123" spans="1:9" x14ac:dyDescent="0.45">
      <c r="B1123" s="20" t="s">
        <v>213</v>
      </c>
      <c r="C1123" s="20" t="s">
        <v>233</v>
      </c>
      <c r="D1123" s="20" t="s">
        <v>234</v>
      </c>
      <c r="E1123" s="20" t="s">
        <v>245</v>
      </c>
      <c r="F1123" s="20" t="s">
        <v>412</v>
      </c>
      <c r="G1123" s="20" t="s">
        <v>199</v>
      </c>
      <c r="H1123" s="21">
        <v>39.9</v>
      </c>
      <c r="I1123" s="21">
        <v>1738.78</v>
      </c>
    </row>
    <row r="1124" spans="1:9" x14ac:dyDescent="0.45">
      <c r="A1124" s="14" t="s">
        <v>413</v>
      </c>
      <c r="H1124" s="22">
        <f>H1095+H1096+H1097+H1098+H1099+H1100+H1101+H1102+H1103+H1104+H1105+H1106+H1107+H1108+H1109+H1110+H1111+H1112+H1113+H1114+H1115+H1116+H1117+H1118+H1119+H1120+H1121+H1122+H1123</f>
        <v>1738.78</v>
      </c>
    </row>
    <row r="1125" spans="1:9" x14ac:dyDescent="0.45">
      <c r="A1125" s="7" t="s">
        <v>161</v>
      </c>
    </row>
    <row r="1126" spans="1:9" x14ac:dyDescent="0.45">
      <c r="B1126" s="20" t="s">
        <v>435</v>
      </c>
      <c r="C1126" s="20" t="s">
        <v>233</v>
      </c>
      <c r="D1126" s="20" t="s">
        <v>980</v>
      </c>
      <c r="E1126" s="20" t="s">
        <v>335</v>
      </c>
      <c r="F1126" s="20" t="s">
        <v>981</v>
      </c>
      <c r="G1126" s="20" t="s">
        <v>218</v>
      </c>
      <c r="H1126" s="21">
        <v>110</v>
      </c>
      <c r="I1126" s="21">
        <v>110</v>
      </c>
    </row>
    <row r="1127" spans="1:9" x14ac:dyDescent="0.45">
      <c r="B1127" s="20" t="s">
        <v>439</v>
      </c>
      <c r="C1127" s="20" t="s">
        <v>233</v>
      </c>
      <c r="D1127" s="20" t="s">
        <v>982</v>
      </c>
      <c r="E1127" s="20" t="s">
        <v>335</v>
      </c>
      <c r="F1127" s="20" t="s">
        <v>983</v>
      </c>
      <c r="G1127" s="20" t="s">
        <v>218</v>
      </c>
      <c r="H1127" s="21">
        <v>240</v>
      </c>
      <c r="I1127" s="21">
        <v>350</v>
      </c>
    </row>
    <row r="1128" spans="1:9" x14ac:dyDescent="0.45">
      <c r="B1128" s="20" t="s">
        <v>540</v>
      </c>
      <c r="C1128" s="20" t="s">
        <v>233</v>
      </c>
      <c r="D1128" s="20" t="s">
        <v>984</v>
      </c>
      <c r="E1128" s="20" t="s">
        <v>335</v>
      </c>
      <c r="F1128" s="20" t="s">
        <v>981</v>
      </c>
      <c r="G1128" s="20" t="s">
        <v>218</v>
      </c>
      <c r="H1128" s="21">
        <v>60</v>
      </c>
      <c r="I1128" s="21">
        <v>410</v>
      </c>
    </row>
    <row r="1129" spans="1:9" x14ac:dyDescent="0.45">
      <c r="A1129" s="14" t="s">
        <v>985</v>
      </c>
      <c r="H1129" s="22">
        <f>H1126+H1127+H1128</f>
        <v>410</v>
      </c>
    </row>
    <row r="1130" spans="1:9" x14ac:dyDescent="0.45">
      <c r="A1130" s="7" t="s">
        <v>162</v>
      </c>
    </row>
    <row r="1131" spans="1:9" x14ac:dyDescent="0.45">
      <c r="B1131" s="20" t="s">
        <v>435</v>
      </c>
      <c r="C1131" s="20" t="s">
        <v>233</v>
      </c>
      <c r="D1131" s="20" t="s">
        <v>986</v>
      </c>
      <c r="E1131" s="20" t="s">
        <v>289</v>
      </c>
      <c r="F1131" s="20" t="s">
        <v>290</v>
      </c>
      <c r="G1131" s="20" t="s">
        <v>218</v>
      </c>
      <c r="H1131" s="21">
        <v>49.99</v>
      </c>
      <c r="I1131" s="21">
        <v>49.99</v>
      </c>
    </row>
    <row r="1132" spans="1:9" x14ac:dyDescent="0.45">
      <c r="B1132" s="20" t="s">
        <v>463</v>
      </c>
      <c r="C1132" s="20" t="s">
        <v>233</v>
      </c>
      <c r="D1132" s="20" t="s">
        <v>234</v>
      </c>
      <c r="E1132" s="20" t="s">
        <v>327</v>
      </c>
      <c r="F1132" s="20" t="s">
        <v>415</v>
      </c>
      <c r="G1132" s="20" t="s">
        <v>218</v>
      </c>
      <c r="H1132" s="21">
        <v>598.73</v>
      </c>
      <c r="I1132" s="21">
        <v>648.72</v>
      </c>
    </row>
    <row r="1133" spans="1:9" x14ac:dyDescent="0.45">
      <c r="B1133" s="20" t="s">
        <v>439</v>
      </c>
      <c r="C1133" s="20" t="s">
        <v>233</v>
      </c>
      <c r="D1133" s="20" t="s">
        <v>987</v>
      </c>
      <c r="E1133" s="20" t="s">
        <v>289</v>
      </c>
      <c r="F1133" s="20" t="s">
        <v>290</v>
      </c>
      <c r="G1133" s="20" t="s">
        <v>218</v>
      </c>
      <c r="H1133" s="21">
        <v>49.99</v>
      </c>
      <c r="I1133" s="21">
        <v>698.71</v>
      </c>
    </row>
    <row r="1134" spans="1:9" x14ac:dyDescent="0.45">
      <c r="B1134" s="20" t="s">
        <v>439</v>
      </c>
      <c r="C1134" s="20" t="s">
        <v>233</v>
      </c>
      <c r="D1134" s="20" t="s">
        <v>284</v>
      </c>
      <c r="E1134" s="20" t="s">
        <v>327</v>
      </c>
      <c r="F1134" s="20" t="s">
        <v>415</v>
      </c>
      <c r="G1134" s="20" t="s">
        <v>218</v>
      </c>
      <c r="H1134" s="21">
        <v>496.98</v>
      </c>
      <c r="I1134" s="21">
        <v>1195.69</v>
      </c>
    </row>
    <row r="1135" spans="1:9" x14ac:dyDescent="0.45">
      <c r="B1135" s="20" t="s">
        <v>565</v>
      </c>
      <c r="C1135" s="20" t="s">
        <v>233</v>
      </c>
      <c r="D1135" s="20" t="s">
        <v>284</v>
      </c>
      <c r="E1135" s="20" t="s">
        <v>327</v>
      </c>
      <c r="F1135" s="20" t="s">
        <v>415</v>
      </c>
      <c r="G1135" s="20" t="s">
        <v>218</v>
      </c>
      <c r="H1135" s="21">
        <v>419.33</v>
      </c>
      <c r="I1135" s="21">
        <v>1615.02</v>
      </c>
    </row>
    <row r="1136" spans="1:9" x14ac:dyDescent="0.45">
      <c r="B1136" s="20" t="s">
        <v>570</v>
      </c>
      <c r="C1136" s="20" t="s">
        <v>233</v>
      </c>
      <c r="D1136" s="20" t="s">
        <v>234</v>
      </c>
      <c r="E1136" s="20" t="s">
        <v>327</v>
      </c>
      <c r="F1136" s="20" t="s">
        <v>415</v>
      </c>
      <c r="G1136" s="20" t="s">
        <v>218</v>
      </c>
      <c r="H1136" s="21">
        <v>313.08999999999997</v>
      </c>
      <c r="I1136" s="21">
        <v>1928.11</v>
      </c>
    </row>
    <row r="1137" spans="1:9" x14ac:dyDescent="0.45">
      <c r="B1137" s="20" t="s">
        <v>571</v>
      </c>
      <c r="C1137" s="20" t="s">
        <v>233</v>
      </c>
      <c r="D1137" s="20" t="s">
        <v>284</v>
      </c>
      <c r="E1137" s="20" t="s">
        <v>327</v>
      </c>
      <c r="F1137" s="20" t="s">
        <v>175</v>
      </c>
      <c r="G1137" s="20" t="s">
        <v>218</v>
      </c>
      <c r="H1137" s="21">
        <v>278.14</v>
      </c>
      <c r="I1137" s="21">
        <v>2206.25</v>
      </c>
    </row>
    <row r="1138" spans="1:9" x14ac:dyDescent="0.45">
      <c r="B1138" s="20" t="s">
        <v>283</v>
      </c>
      <c r="C1138" s="20" t="s">
        <v>233</v>
      </c>
      <c r="D1138" s="20" t="s">
        <v>284</v>
      </c>
      <c r="E1138" s="20" t="s">
        <v>327</v>
      </c>
      <c r="F1138" s="20" t="s">
        <v>414</v>
      </c>
      <c r="G1138" s="20" t="s">
        <v>218</v>
      </c>
      <c r="H1138" s="21">
        <v>281.08</v>
      </c>
      <c r="I1138" s="21">
        <v>2487.33</v>
      </c>
    </row>
    <row r="1139" spans="1:9" x14ac:dyDescent="0.45">
      <c r="B1139" s="20" t="s">
        <v>283</v>
      </c>
      <c r="C1139" s="20" t="s">
        <v>233</v>
      </c>
      <c r="D1139" s="20" t="s">
        <v>234</v>
      </c>
      <c r="E1139" s="20" t="s">
        <v>327</v>
      </c>
      <c r="F1139" s="20" t="s">
        <v>415</v>
      </c>
      <c r="G1139" s="20" t="s">
        <v>218</v>
      </c>
      <c r="H1139" s="21">
        <v>392.79</v>
      </c>
      <c r="I1139" s="21">
        <v>2880.12</v>
      </c>
    </row>
    <row r="1140" spans="1:9" x14ac:dyDescent="0.45">
      <c r="A1140" s="14" t="s">
        <v>416</v>
      </c>
      <c r="H1140" s="22">
        <f>H1131+H1132+H1133+H1134+H1135+H1136+H1137+H1138+H1139</f>
        <v>2880.12</v>
      </c>
    </row>
    <row r="1141" spans="1:9" x14ac:dyDescent="0.45">
      <c r="A1141" s="15" t="s">
        <v>417</v>
      </c>
      <c r="H1141" s="22">
        <f>H1059+H1070+H1093+H1124+H1129+H1140</f>
        <v>14467.240000000002</v>
      </c>
    </row>
    <row r="1142" spans="1:9" x14ac:dyDescent="0.45">
      <c r="A1142" s="7" t="s">
        <v>164</v>
      </c>
    </row>
    <row r="1143" spans="1:9" x14ac:dyDescent="0.45">
      <c r="A1143" s="7" t="s">
        <v>165</v>
      </c>
    </row>
    <row r="1144" spans="1:9" x14ac:dyDescent="0.45">
      <c r="B1144" s="20" t="s">
        <v>443</v>
      </c>
      <c r="C1144" s="20" t="s">
        <v>444</v>
      </c>
      <c r="D1144" s="20" t="s">
        <v>988</v>
      </c>
      <c r="E1144" s="20" t="s">
        <v>175</v>
      </c>
      <c r="F1144" s="20" t="s">
        <v>989</v>
      </c>
      <c r="G1144" s="20" t="s">
        <v>175</v>
      </c>
      <c r="H1144" s="21">
        <v>-2668.32</v>
      </c>
      <c r="I1144" s="21">
        <v>-2668.32</v>
      </c>
    </row>
    <row r="1145" spans="1:9" x14ac:dyDescent="0.45">
      <c r="B1145" s="20" t="s">
        <v>435</v>
      </c>
      <c r="C1145" s="20" t="s">
        <v>233</v>
      </c>
      <c r="D1145" s="20" t="s">
        <v>990</v>
      </c>
      <c r="E1145" s="20" t="s">
        <v>419</v>
      </c>
      <c r="F1145" s="20" t="s">
        <v>262</v>
      </c>
      <c r="G1145" s="20" t="s">
        <v>218</v>
      </c>
      <c r="H1145" s="21">
        <v>5336.64</v>
      </c>
      <c r="I1145" s="21">
        <v>2668.32</v>
      </c>
    </row>
    <row r="1146" spans="1:9" x14ac:dyDescent="0.45">
      <c r="B1146" s="20" t="s">
        <v>435</v>
      </c>
      <c r="C1146" s="20" t="s">
        <v>233</v>
      </c>
      <c r="D1146" s="20" t="s">
        <v>990</v>
      </c>
      <c r="E1146" s="20" t="s">
        <v>419</v>
      </c>
      <c r="F1146" s="20" t="s">
        <v>420</v>
      </c>
      <c r="G1146" s="20" t="s">
        <v>218</v>
      </c>
      <c r="H1146" s="20"/>
      <c r="I1146" s="21">
        <v>2668.32</v>
      </c>
    </row>
    <row r="1147" spans="1:9" x14ac:dyDescent="0.45">
      <c r="B1147" s="20" t="s">
        <v>439</v>
      </c>
      <c r="C1147" s="20" t="s">
        <v>233</v>
      </c>
      <c r="D1147" s="20" t="s">
        <v>991</v>
      </c>
      <c r="E1147" s="20" t="s">
        <v>419</v>
      </c>
      <c r="F1147" s="20" t="s">
        <v>262</v>
      </c>
      <c r="G1147" s="20" t="s">
        <v>218</v>
      </c>
      <c r="H1147" s="21">
        <v>2729.52</v>
      </c>
      <c r="I1147" s="21">
        <v>5397.84</v>
      </c>
    </row>
    <row r="1148" spans="1:9" x14ac:dyDescent="0.45">
      <c r="B1148" s="20" t="s">
        <v>439</v>
      </c>
      <c r="C1148" s="20" t="s">
        <v>233</v>
      </c>
      <c r="D1148" s="20" t="s">
        <v>991</v>
      </c>
      <c r="E1148" s="20" t="s">
        <v>419</v>
      </c>
      <c r="F1148" s="20" t="s">
        <v>420</v>
      </c>
      <c r="G1148" s="20" t="s">
        <v>218</v>
      </c>
      <c r="H1148" s="20"/>
      <c r="I1148" s="21">
        <v>5397.84</v>
      </c>
    </row>
    <row r="1149" spans="1:9" x14ac:dyDescent="0.45">
      <c r="B1149" s="20" t="s">
        <v>585</v>
      </c>
      <c r="C1149" s="20" t="s">
        <v>233</v>
      </c>
      <c r="D1149" s="20" t="s">
        <v>992</v>
      </c>
      <c r="E1149" s="20" t="s">
        <v>419</v>
      </c>
      <c r="F1149" s="20" t="s">
        <v>262</v>
      </c>
      <c r="G1149" s="20" t="s">
        <v>218</v>
      </c>
      <c r="H1149" s="21">
        <v>2729.52</v>
      </c>
      <c r="I1149" s="21">
        <v>8127.3600000000006</v>
      </c>
    </row>
    <row r="1150" spans="1:9" x14ac:dyDescent="0.45">
      <c r="B1150" s="20" t="s">
        <v>585</v>
      </c>
      <c r="C1150" s="20" t="s">
        <v>233</v>
      </c>
      <c r="D1150" s="20" t="s">
        <v>992</v>
      </c>
      <c r="E1150" s="20" t="s">
        <v>419</v>
      </c>
      <c r="F1150" s="20" t="s">
        <v>420</v>
      </c>
      <c r="G1150" s="20" t="s">
        <v>218</v>
      </c>
      <c r="H1150" s="20"/>
      <c r="I1150" s="21">
        <v>8127.3600000000006</v>
      </c>
    </row>
    <row r="1151" spans="1:9" x14ac:dyDescent="0.45">
      <c r="B1151" s="20" t="s">
        <v>540</v>
      </c>
      <c r="C1151" s="20" t="s">
        <v>233</v>
      </c>
      <c r="D1151" s="20" t="s">
        <v>993</v>
      </c>
      <c r="E1151" s="20" t="s">
        <v>419</v>
      </c>
      <c r="F1151" s="20" t="s">
        <v>262</v>
      </c>
      <c r="G1151" s="20" t="s">
        <v>218</v>
      </c>
      <c r="H1151" s="21">
        <v>2729.52</v>
      </c>
      <c r="I1151" s="21">
        <v>10856.880000000001</v>
      </c>
    </row>
    <row r="1152" spans="1:9" x14ac:dyDescent="0.45">
      <c r="B1152" s="20" t="s">
        <v>540</v>
      </c>
      <c r="C1152" s="20" t="s">
        <v>233</v>
      </c>
      <c r="D1152" s="20" t="s">
        <v>993</v>
      </c>
      <c r="E1152" s="20" t="s">
        <v>419</v>
      </c>
      <c r="F1152" s="20" t="s">
        <v>420</v>
      </c>
      <c r="G1152" s="20" t="s">
        <v>218</v>
      </c>
      <c r="H1152" s="20"/>
      <c r="I1152" s="21">
        <v>10856.880000000001</v>
      </c>
    </row>
    <row r="1153" spans="1:9" x14ac:dyDescent="0.45">
      <c r="B1153" s="20" t="s">
        <v>588</v>
      </c>
      <c r="C1153" s="20" t="s">
        <v>233</v>
      </c>
      <c r="D1153" s="20" t="s">
        <v>994</v>
      </c>
      <c r="E1153" s="20" t="s">
        <v>419</v>
      </c>
      <c r="F1153" s="20" t="s">
        <v>262</v>
      </c>
      <c r="G1153" s="20" t="s">
        <v>218</v>
      </c>
      <c r="H1153" s="21">
        <v>2729.52</v>
      </c>
      <c r="I1153" s="21">
        <v>13586.400000000001</v>
      </c>
    </row>
    <row r="1154" spans="1:9" x14ac:dyDescent="0.45">
      <c r="B1154" s="20" t="s">
        <v>588</v>
      </c>
      <c r="C1154" s="20" t="s">
        <v>233</v>
      </c>
      <c r="D1154" s="20" t="s">
        <v>994</v>
      </c>
      <c r="E1154" s="20" t="s">
        <v>419</v>
      </c>
      <c r="F1154" s="20" t="s">
        <v>420</v>
      </c>
      <c r="G1154" s="20" t="s">
        <v>218</v>
      </c>
      <c r="H1154" s="20"/>
      <c r="I1154" s="21">
        <v>13586.400000000001</v>
      </c>
    </row>
    <row r="1155" spans="1:9" x14ac:dyDescent="0.45">
      <c r="B1155" s="20" t="s">
        <v>484</v>
      </c>
      <c r="C1155" s="20" t="s">
        <v>233</v>
      </c>
      <c r="D1155" s="20" t="s">
        <v>995</v>
      </c>
      <c r="E1155" s="20" t="s">
        <v>419</v>
      </c>
      <c r="F1155" s="20" t="s">
        <v>262</v>
      </c>
      <c r="G1155" s="20" t="s">
        <v>218</v>
      </c>
      <c r="H1155" s="21">
        <v>2729.52</v>
      </c>
      <c r="I1155" s="21">
        <v>16315.920000000002</v>
      </c>
    </row>
    <row r="1156" spans="1:9" x14ac:dyDescent="0.45">
      <c r="B1156" s="20" t="s">
        <v>484</v>
      </c>
      <c r="C1156" s="20" t="s">
        <v>233</v>
      </c>
      <c r="D1156" s="20" t="s">
        <v>995</v>
      </c>
      <c r="E1156" s="20" t="s">
        <v>419</v>
      </c>
      <c r="F1156" s="20" t="s">
        <v>420</v>
      </c>
      <c r="G1156" s="20" t="s">
        <v>218</v>
      </c>
      <c r="H1156" s="20"/>
      <c r="I1156" s="21">
        <v>16315.920000000002</v>
      </c>
    </row>
    <row r="1157" spans="1:9" x14ac:dyDescent="0.45">
      <c r="B1157" s="20" t="s">
        <v>247</v>
      </c>
      <c r="C1157" s="20" t="s">
        <v>233</v>
      </c>
      <c r="D1157" s="20" t="s">
        <v>418</v>
      </c>
      <c r="E1157" s="20" t="s">
        <v>419</v>
      </c>
      <c r="F1157" s="20" t="s">
        <v>262</v>
      </c>
      <c r="G1157" s="20" t="s">
        <v>218</v>
      </c>
      <c r="H1157" s="21">
        <v>2729.52</v>
      </c>
      <c r="I1157" s="21">
        <v>19045.440000000002</v>
      </c>
    </row>
    <row r="1158" spans="1:9" x14ac:dyDescent="0.45">
      <c r="B1158" s="20" t="s">
        <v>247</v>
      </c>
      <c r="C1158" s="20" t="s">
        <v>233</v>
      </c>
      <c r="D1158" s="20" t="s">
        <v>418</v>
      </c>
      <c r="E1158" s="20" t="s">
        <v>419</v>
      </c>
      <c r="F1158" s="20" t="s">
        <v>420</v>
      </c>
      <c r="G1158" s="20" t="s">
        <v>218</v>
      </c>
      <c r="H1158" s="20"/>
      <c r="I1158" s="21">
        <v>19045.440000000002</v>
      </c>
    </row>
    <row r="1159" spans="1:9" x14ac:dyDescent="0.45">
      <c r="A1159" s="14" t="s">
        <v>421</v>
      </c>
      <c r="H1159" s="22">
        <f>H1144+H1145+H1146+H1147+H1148+H1149+H1150+H1151+H1152+H1153+H1154+H1155+H1156+H1157+H1158</f>
        <v>19045.440000000002</v>
      </c>
    </row>
    <row r="1160" spans="1:9" x14ac:dyDescent="0.45">
      <c r="A1160" s="7" t="s">
        <v>166</v>
      </c>
    </row>
    <row r="1161" spans="1:9" x14ac:dyDescent="0.45">
      <c r="B1161" s="20" t="s">
        <v>443</v>
      </c>
      <c r="C1161" s="20" t="s">
        <v>444</v>
      </c>
      <c r="D1161" s="20" t="s">
        <v>988</v>
      </c>
      <c r="E1161" s="20" t="s">
        <v>175</v>
      </c>
      <c r="F1161" s="20" t="s">
        <v>989</v>
      </c>
      <c r="G1161" s="20" t="s">
        <v>175</v>
      </c>
      <c r="H1161" s="21">
        <v>-5814</v>
      </c>
      <c r="I1161" s="21">
        <v>-5814</v>
      </c>
    </row>
    <row r="1162" spans="1:9" x14ac:dyDescent="0.45">
      <c r="B1162" s="20" t="s">
        <v>435</v>
      </c>
      <c r="C1162" s="20" t="s">
        <v>233</v>
      </c>
      <c r="D1162" s="20" t="s">
        <v>990</v>
      </c>
      <c r="E1162" s="20" t="s">
        <v>419</v>
      </c>
      <c r="F1162" s="20" t="s">
        <v>262</v>
      </c>
      <c r="G1162" s="20" t="s">
        <v>218</v>
      </c>
      <c r="H1162" s="21">
        <v>11628</v>
      </c>
      <c r="I1162" s="21">
        <v>5814</v>
      </c>
    </row>
    <row r="1163" spans="1:9" x14ac:dyDescent="0.45">
      <c r="B1163" s="20" t="s">
        <v>439</v>
      </c>
      <c r="C1163" s="20" t="s">
        <v>233</v>
      </c>
      <c r="D1163" s="20" t="s">
        <v>991</v>
      </c>
      <c r="E1163" s="20" t="s">
        <v>419</v>
      </c>
      <c r="F1163" s="20" t="s">
        <v>262</v>
      </c>
      <c r="G1163" s="20" t="s">
        <v>218</v>
      </c>
      <c r="H1163" s="21">
        <v>5875.2</v>
      </c>
      <c r="I1163" s="21">
        <v>11689.2</v>
      </c>
    </row>
    <row r="1164" spans="1:9" x14ac:dyDescent="0.45">
      <c r="B1164" s="20" t="s">
        <v>585</v>
      </c>
      <c r="C1164" s="20" t="s">
        <v>233</v>
      </c>
      <c r="D1164" s="20" t="s">
        <v>992</v>
      </c>
      <c r="E1164" s="20" t="s">
        <v>419</v>
      </c>
      <c r="F1164" s="20" t="s">
        <v>262</v>
      </c>
      <c r="G1164" s="20" t="s">
        <v>218</v>
      </c>
      <c r="H1164" s="21">
        <v>5875.2</v>
      </c>
      <c r="I1164" s="21">
        <v>17564.400000000001</v>
      </c>
    </row>
    <row r="1165" spans="1:9" x14ac:dyDescent="0.45">
      <c r="B1165" s="20" t="s">
        <v>540</v>
      </c>
      <c r="C1165" s="20" t="s">
        <v>233</v>
      </c>
      <c r="D1165" s="20" t="s">
        <v>993</v>
      </c>
      <c r="E1165" s="20" t="s">
        <v>419</v>
      </c>
      <c r="F1165" s="20" t="s">
        <v>262</v>
      </c>
      <c r="G1165" s="20" t="s">
        <v>218</v>
      </c>
      <c r="H1165" s="21">
        <v>5875.2</v>
      </c>
      <c r="I1165" s="21">
        <v>23439.600000000002</v>
      </c>
    </row>
    <row r="1166" spans="1:9" x14ac:dyDescent="0.45">
      <c r="B1166" s="20" t="s">
        <v>588</v>
      </c>
      <c r="C1166" s="20" t="s">
        <v>233</v>
      </c>
      <c r="D1166" s="20" t="s">
        <v>994</v>
      </c>
      <c r="E1166" s="20" t="s">
        <v>419</v>
      </c>
      <c r="F1166" s="20" t="s">
        <v>262</v>
      </c>
      <c r="G1166" s="20" t="s">
        <v>218</v>
      </c>
      <c r="H1166" s="21">
        <v>5875.2</v>
      </c>
      <c r="I1166" s="21">
        <v>29314.800000000003</v>
      </c>
    </row>
    <row r="1167" spans="1:9" x14ac:dyDescent="0.45">
      <c r="B1167" s="20" t="s">
        <v>484</v>
      </c>
      <c r="C1167" s="20" t="s">
        <v>233</v>
      </c>
      <c r="D1167" s="20" t="s">
        <v>995</v>
      </c>
      <c r="E1167" s="20" t="s">
        <v>419</v>
      </c>
      <c r="F1167" s="20" t="s">
        <v>262</v>
      </c>
      <c r="G1167" s="20" t="s">
        <v>218</v>
      </c>
      <c r="H1167" s="21">
        <v>5875.2</v>
      </c>
      <c r="I1167" s="21">
        <v>35190</v>
      </c>
    </row>
    <row r="1168" spans="1:9" x14ac:dyDescent="0.45">
      <c r="B1168" s="20" t="s">
        <v>247</v>
      </c>
      <c r="C1168" s="20" t="s">
        <v>233</v>
      </c>
      <c r="D1168" s="20" t="s">
        <v>418</v>
      </c>
      <c r="E1168" s="20" t="s">
        <v>419</v>
      </c>
      <c r="F1168" s="20" t="s">
        <v>262</v>
      </c>
      <c r="G1168" s="20" t="s">
        <v>218</v>
      </c>
      <c r="H1168" s="21">
        <v>5875.2</v>
      </c>
      <c r="I1168" s="21">
        <v>41065.199999999997</v>
      </c>
    </row>
    <row r="1169" spans="1:10" x14ac:dyDescent="0.45">
      <c r="A1169" s="14" t="s">
        <v>422</v>
      </c>
      <c r="H1169" s="22">
        <f>H1161+H1162+H1163+H1164+H1165+H1166+H1167+H1168</f>
        <v>41065.199999999997</v>
      </c>
    </row>
    <row r="1170" spans="1:10" x14ac:dyDescent="0.45">
      <c r="A1170" s="15" t="s">
        <v>423</v>
      </c>
      <c r="H1170" s="22">
        <f>H1159+H1169</f>
        <v>60110.64</v>
      </c>
    </row>
    <row r="1171" spans="1:10" x14ac:dyDescent="0.45">
      <c r="A1171" s="10" t="s">
        <v>424</v>
      </c>
      <c r="H1171" s="22">
        <f>H629+H672+H975+H983+H1019+H1028+H1141+H1170</f>
        <v>758816.88000000012</v>
      </c>
      <c r="J1171" s="30"/>
    </row>
    <row r="1172" spans="1:10" x14ac:dyDescent="0.45">
      <c r="A1172" s="11" t="s">
        <v>425</v>
      </c>
      <c r="H1172" s="22">
        <f>+H250-H1171</f>
        <v>333392.89999999991</v>
      </c>
      <c r="J1172" s="30"/>
    </row>
    <row r="1173" spans="1:10" x14ac:dyDescent="0.45">
      <c r="A1173" s="7" t="s">
        <v>426</v>
      </c>
    </row>
    <row r="1174" spans="1:10" x14ac:dyDescent="0.45">
      <c r="B1174" s="20" t="s">
        <v>427</v>
      </c>
      <c r="H1174" s="20"/>
    </row>
    <row r="1175" spans="1:10" x14ac:dyDescent="0.45">
      <c r="A1175" s="7" t="s">
        <v>428</v>
      </c>
    </row>
    <row r="1176" spans="1:10" x14ac:dyDescent="0.45">
      <c r="A1176" s="7" t="s">
        <v>171</v>
      </c>
    </row>
    <row r="1177" spans="1:10" x14ac:dyDescent="0.45">
      <c r="B1177" s="20" t="s">
        <v>247</v>
      </c>
      <c r="C1177" s="20" t="s">
        <v>233</v>
      </c>
      <c r="D1177" s="20" t="s">
        <v>429</v>
      </c>
      <c r="E1177" s="20" t="s">
        <v>430</v>
      </c>
      <c r="F1177" s="20" t="s">
        <v>431</v>
      </c>
      <c r="G1177" s="20" t="s">
        <v>218</v>
      </c>
      <c r="H1177" s="21">
        <v>1500</v>
      </c>
      <c r="I1177" s="21">
        <v>1500</v>
      </c>
    </row>
    <row r="1178" spans="1:10" x14ac:dyDescent="0.45">
      <c r="A1178" s="15" t="s">
        <v>432</v>
      </c>
      <c r="H1178" s="22">
        <f>H1177</f>
        <v>1500</v>
      </c>
    </row>
    <row r="1179" spans="1:10" x14ac:dyDescent="0.45">
      <c r="A1179" s="10" t="s">
        <v>433</v>
      </c>
      <c r="H1179" s="22">
        <f>H1178</f>
        <v>1500</v>
      </c>
    </row>
    <row r="1180" spans="1:10" x14ac:dyDescent="0.45">
      <c r="A1180" s="11" t="s">
        <v>173</v>
      </c>
      <c r="H1180" s="29">
        <v>-1500</v>
      </c>
    </row>
    <row r="1181" spans="1:10" x14ac:dyDescent="0.45">
      <c r="A1181" s="11" t="s">
        <v>174</v>
      </c>
      <c r="H1181" s="22">
        <f>+H1172+H1180</f>
        <v>331892.89999999991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YTD Budget Performance </vt:lpstr>
      <vt:lpstr>Profit &amp; Loss Stmt by Month</vt:lpstr>
      <vt:lpstr>7-31-2026 Balance Sheet</vt:lpstr>
      <vt:lpstr>July Profit &amp; Loss Detail </vt:lpstr>
      <vt:lpstr>YTD Profit &amp; Loss Detail</vt:lpstr>
      <vt:lpstr>'7-31-2026 Balance Sheet'!Print_Area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Bonnie Krattiger</cp:lastModifiedBy>
  <cp:lastPrinted>2026-08-09T20:54:20Z</cp:lastPrinted>
  <dcterms:created xsi:type="dcterms:W3CDTF">2022-03-24T08:55:57Z</dcterms:created>
  <dcterms:modified xsi:type="dcterms:W3CDTF">2026-08-09T20:55:13Z</dcterms:modified>
  <cp:category/>
</cp:coreProperties>
</file>